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WMaddox\Desktop\"/>
    </mc:Choice>
  </mc:AlternateContent>
  <xr:revisionPtr revIDLastSave="0" documentId="8_{8B74691D-F173-46E3-B2B4-36C274F2C735}" xr6:coauthVersionLast="47" xr6:coauthVersionMax="47" xr10:uidLastSave="{00000000-0000-0000-0000-000000000000}"/>
  <workbookProtection workbookAlgorithmName="SHA-512" workbookHashValue="wK8A/xOib8viuEStCnbIyH8tM8o1BiR78mHfh3xQUMr+wIkRQI0K/uzi255+AeTllOWdmf2W/z84Vff8aTL7zA==" workbookSaltValue="RE0wzoG2afGdJOKAM44WFw==" workbookSpinCount="100000" lockStructure="1"/>
  <bookViews>
    <workbookView xWindow="22932" yWindow="-108" windowWidth="23256" windowHeight="12576" xr2:uid="{00000000-000D-0000-FFFF-FFFF00000000}"/>
  </bookViews>
  <sheets>
    <sheet name="Rates" sheetId="1" r:id="rId1"/>
    <sheet name="Calculations" sheetId="2" state="hidden" r:id="rId2"/>
  </sheets>
  <definedNames>
    <definedName name="_xlnm.Print_Area" localSheetId="0">Rates!$A$1:$P$32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I6" i="2" l="1"/>
  <c r="Q11" i="2" l="1"/>
  <c r="Q10" i="2"/>
  <c r="P11" i="2"/>
  <c r="P10" i="2"/>
  <c r="P4" i="2"/>
  <c r="Q4" i="2"/>
  <c r="Q12" i="2" l="1"/>
  <c r="Q9" i="2"/>
  <c r="Q8" i="2"/>
  <c r="Q7" i="2"/>
  <c r="Q6" i="2"/>
  <c r="Q5" i="2"/>
  <c r="J13" i="1" l="1"/>
  <c r="L8" i="2"/>
  <c r="L10" i="2" s="1"/>
  <c r="L11" i="2" s="1"/>
  <c r="L12" i="2" s="1"/>
  <c r="I7" i="2"/>
  <c r="I8" i="2" s="1"/>
  <c r="I9" i="2" s="1"/>
  <c r="I10" i="2" s="1"/>
  <c r="I11" i="2" s="1"/>
  <c r="F6" i="2"/>
  <c r="F7" i="2" s="1"/>
  <c r="F8" i="2" s="1"/>
  <c r="F9" i="2" s="1"/>
  <c r="F10" i="2" s="1"/>
  <c r="F11" i="2" s="1"/>
  <c r="C6" i="2"/>
  <c r="C7" i="2" s="1"/>
  <c r="R11" i="2" l="1"/>
  <c r="R10" i="2"/>
  <c r="C8" i="2"/>
  <c r="C9" i="2" s="1"/>
  <c r="C10" i="2" s="1"/>
  <c r="C11" i="2" s="1"/>
  <c r="C12" i="2" s="1"/>
  <c r="R4" i="2"/>
  <c r="S8" i="2"/>
  <c r="S10" i="2"/>
  <c r="S4" i="2"/>
  <c r="R5" i="2"/>
  <c r="S5" i="2"/>
  <c r="R6" i="2"/>
  <c r="S6" i="2"/>
  <c r="R7" i="2"/>
  <c r="S7" i="2"/>
  <c r="R8" i="2"/>
  <c r="R9" i="2"/>
  <c r="S9" i="2"/>
  <c r="R12" i="2"/>
  <c r="M21" i="1" l="1"/>
  <c r="L17" i="1"/>
  <c r="K21" i="1"/>
  <c r="X7" i="2"/>
  <c r="V7" i="2"/>
  <c r="V8" i="2" s="1"/>
  <c r="J17" i="1"/>
  <c r="J19" i="1" s="1"/>
  <c r="L13" i="1"/>
  <c r="V5" i="2"/>
  <c r="P9" i="2"/>
  <c r="P12" i="2"/>
  <c r="P7" i="2"/>
  <c r="P8" i="2"/>
  <c r="P6" i="2"/>
  <c r="P5" i="2"/>
  <c r="L21" i="1" l="1"/>
  <c r="J21" i="1"/>
  <c r="J23" i="1" s="1"/>
  <c r="V4" i="2"/>
  <c r="V6" i="2" s="1"/>
  <c r="V9" i="2"/>
  <c r="W9" i="2" s="1"/>
  <c r="L19" i="1"/>
  <c r="W5" i="2"/>
  <c r="J11" i="1"/>
  <c r="J15" i="1" s="1"/>
  <c r="H28" i="1"/>
  <c r="H26" i="1"/>
  <c r="H25" i="1" s="1"/>
  <c r="J26" i="1"/>
  <c r="W7" i="2"/>
  <c r="W8" i="2" s="1"/>
  <c r="X8" i="2"/>
  <c r="H29" i="1"/>
  <c r="H27" i="1"/>
  <c r="X6" i="2" l="1"/>
  <c r="K15" i="1"/>
  <c r="L11" i="1"/>
  <c r="L15" i="1" s="1"/>
  <c r="L23" i="1" s="1"/>
  <c r="L28" i="1"/>
  <c r="J28" i="1"/>
  <c r="L26" i="1"/>
  <c r="W4" i="2"/>
  <c r="W6" i="2" s="1"/>
  <c r="M15" i="1" l="1"/>
  <c r="J25" i="1"/>
  <c r="L25" i="1" l="1"/>
</calcChain>
</file>

<file path=xl/sharedStrings.xml><?xml version="1.0" encoding="utf-8"?>
<sst xmlns="http://schemas.openxmlformats.org/spreadsheetml/2006/main" count="66" uniqueCount="46">
  <si>
    <t>County</t>
  </si>
  <si>
    <t>Davidson</t>
  </si>
  <si>
    <t>Hamilton</t>
  </si>
  <si>
    <t>Knox</t>
  </si>
  <si>
    <t>Shelby</t>
  </si>
  <si>
    <t>Williamson</t>
  </si>
  <si>
    <t>All Other Counties</t>
  </si>
  <si>
    <t>Standard</t>
  </si>
  <si>
    <t>Eagle</t>
  </si>
  <si>
    <t>Calculated Rates</t>
  </si>
  <si>
    <t>Hamilton, Knox</t>
  </si>
  <si>
    <t>BASIC TITLE INSURANCE RATE for COUNTIES</t>
  </si>
  <si>
    <t>Rutherford</t>
  </si>
  <si>
    <t>Tennessee Title Insurance Rates</t>
  </si>
  <si>
    <t>Lenders Policy</t>
  </si>
  <si>
    <t>BASE RATE</t>
  </si>
  <si>
    <t>Owner's Policy</t>
  </si>
  <si>
    <t>Range</t>
  </si>
  <si>
    <t>Starting Rate for range</t>
  </si>
  <si>
    <t>Incremental Rate (per $1000)</t>
  </si>
  <si>
    <t>Reissue Credit</t>
  </si>
  <si>
    <t>Lender's Policy in excess of Owner’s Policy</t>
  </si>
  <si>
    <t>Prior Policy Credit
(30% * Base rate for Reissue Amount)</t>
  </si>
  <si>
    <r>
      <rPr>
        <b/>
        <sz val="11"/>
        <color theme="1"/>
        <rFont val="Calibri"/>
        <family val="2"/>
        <scheme val="minor"/>
      </rPr>
      <t>Owner's Policy</t>
    </r>
    <r>
      <rPr>
        <sz val="11"/>
        <color theme="1"/>
        <rFont val="Calibri"/>
        <family val="2"/>
        <scheme val="minor"/>
      </rPr>
      <t xml:space="preserve"> Amount</t>
    </r>
  </si>
  <si>
    <r>
      <t xml:space="preserve">Lender's </t>
    </r>
    <r>
      <rPr>
        <b/>
        <sz val="11"/>
        <color theme="1"/>
        <rFont val="Calibri"/>
        <family val="2"/>
        <scheme val="minor"/>
      </rPr>
      <t>Loan Policy</t>
    </r>
    <r>
      <rPr>
        <sz val="11"/>
        <color theme="1"/>
        <rFont val="Calibri"/>
        <family val="2"/>
        <scheme val="minor"/>
      </rPr>
      <t xml:space="preserve"> Amount</t>
    </r>
  </si>
  <si>
    <t>Total Owner's Policy</t>
  </si>
  <si>
    <r>
      <t xml:space="preserve">Lender's </t>
    </r>
    <r>
      <rPr>
        <b/>
        <sz val="11"/>
        <color theme="1"/>
        <rFont val="Calibri"/>
        <family val="2"/>
        <scheme val="minor"/>
      </rPr>
      <t>Loan Policy</t>
    </r>
  </si>
  <si>
    <r>
      <t>Concurrent</t>
    </r>
    <r>
      <rPr>
        <sz val="11"/>
        <color theme="1"/>
        <rFont val="Calibri"/>
        <family val="2"/>
        <scheme val="minor"/>
      </rPr>
      <t xml:space="preserve"> Loan Policy</t>
    </r>
  </si>
  <si>
    <t>User Input
(Enter Amount and hit "Enter" to Calculate)</t>
  </si>
  <si>
    <t>Underwriter Remit %</t>
  </si>
  <si>
    <r>
      <t xml:space="preserve">Lender's </t>
    </r>
    <r>
      <rPr>
        <b/>
        <sz val="11"/>
        <color theme="1"/>
        <rFont val="Calibri"/>
        <family val="2"/>
        <scheme val="minor"/>
      </rPr>
      <t>Loan Policy</t>
    </r>
    <r>
      <rPr>
        <sz val="11"/>
        <color theme="1"/>
        <rFont val="Calibri"/>
        <family val="2"/>
        <scheme val="minor"/>
      </rPr>
      <t>(&lt;90 days)</t>
    </r>
  </si>
  <si>
    <r>
      <t xml:space="preserve">Lender's </t>
    </r>
    <r>
      <rPr>
        <b/>
        <sz val="11"/>
        <color theme="1"/>
        <rFont val="Calibri"/>
        <family val="2"/>
        <scheme val="minor"/>
      </rPr>
      <t>Loan Policy</t>
    </r>
    <r>
      <rPr>
        <sz val="11"/>
        <color theme="1"/>
        <rFont val="Calibri"/>
        <family val="2"/>
        <scheme val="minor"/>
      </rPr>
      <t>(&gt; 90 days)</t>
    </r>
  </si>
  <si>
    <t>EAGLE</t>
  </si>
  <si>
    <t>UNDERWRITER REMIT AMOUNT</t>
  </si>
  <si>
    <t>TYPE</t>
  </si>
  <si>
    <t>BASIC (NOT ROUNDED)</t>
  </si>
  <si>
    <t>BASIC (ROUNDED)</t>
  </si>
  <si>
    <r>
      <rPr>
        <b/>
        <sz val="11"/>
        <color theme="1"/>
        <rFont val="Calibri"/>
        <family val="2"/>
        <scheme val="minor"/>
      </rPr>
      <t>Prior Owner's Policy</t>
    </r>
    <r>
      <rPr>
        <sz val="11"/>
        <color theme="1"/>
        <rFont val="Calibri"/>
        <family val="2"/>
        <scheme val="minor"/>
      </rPr>
      <t xml:space="preserve"> Amount</t>
    </r>
  </si>
  <si>
    <t>TRID</t>
  </si>
  <si>
    <t xml:space="preserve"> </t>
  </si>
  <si>
    <t>Montgomery</t>
  </si>
  <si>
    <t>Sumner</t>
  </si>
  <si>
    <t>Davidson, Rutherford, Williamson, Montgomery, Sumner</t>
  </si>
  <si>
    <r>
      <t>(Property</t>
    </r>
    <r>
      <rPr>
        <b/>
        <sz val="9"/>
        <color theme="1" tint="0.499984740745262"/>
        <rFont val="Calibri"/>
        <family val="2"/>
        <scheme val="minor"/>
      </rPr>
      <t xml:space="preserve"> already owned</t>
    </r>
    <r>
      <rPr>
        <sz val="9"/>
        <color theme="1" tint="0.499984740745262"/>
        <rFont val="Calibri"/>
        <family val="2"/>
        <scheme val="minor"/>
      </rPr>
      <t xml:space="preserve"> by the borrower)</t>
    </r>
  </si>
  <si>
    <t>(Purchase Money Mortgage)</t>
  </si>
  <si>
    <t>Rates Effective 11/1/2021 v14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</si>
</sst>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b/>
      <sz val="15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left" vertical="center" wrapText="1"/>
    </xf>
    <xf numFmtId="0" fontId="0" fillId="15" borderId="0" xfId="0" applyFill="1" applyProtection="1"/>
    <xf numFmtId="0" fontId="0" fillId="15" borderId="0" xfId="0" applyFill="1" applyAlignment="1" applyProtection="1">
      <alignment horizontal="right"/>
    </xf>
    <xf numFmtId="0" fontId="0" fillId="15" borderId="0" xfId="0" applyFill="1" applyAlignment="1" applyProtection="1">
      <alignment horizontal="right" vertical="center"/>
    </xf>
    <xf numFmtId="0" fontId="0" fillId="3" borderId="23" xfId="0" applyFill="1" applyBorder="1" applyProtection="1"/>
    <xf numFmtId="0" fontId="0" fillId="3" borderId="25" xfId="0" applyFill="1" applyBorder="1" applyProtection="1"/>
    <xf numFmtId="0" fontId="0" fillId="3" borderId="25" xfId="0" applyFill="1" applyBorder="1" applyAlignment="1" applyProtection="1">
      <alignment horizontal="right"/>
    </xf>
    <xf numFmtId="0" fontId="0" fillId="3" borderId="25" xfId="0" applyFill="1" applyBorder="1" applyAlignment="1" applyProtection="1">
      <alignment horizontal="right" vertical="center"/>
    </xf>
    <xf numFmtId="0" fontId="0" fillId="3" borderId="26" xfId="0" applyFill="1" applyBorder="1" applyProtection="1"/>
    <xf numFmtId="0" fontId="0" fillId="3" borderId="27" xfId="0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 vertical="center"/>
    </xf>
    <xf numFmtId="0" fontId="0" fillId="3" borderId="28" xfId="0" applyFill="1" applyBorder="1" applyProtection="1"/>
    <xf numFmtId="0" fontId="0" fillId="3" borderId="3" xfId="0" applyFill="1" applyBorder="1" applyAlignment="1" applyProtection="1">
      <alignment horizontal="right"/>
    </xf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2" xfId="0" applyFill="1" applyBorder="1" applyAlignment="1" applyProtection="1">
      <alignment horizontal="right" vertical="center"/>
    </xf>
    <xf numFmtId="0" fontId="0" fillId="3" borderId="3" xfId="0" applyFill="1" applyBorder="1" applyAlignment="1" applyProtection="1">
      <alignment horizontal="right" vertical="center"/>
    </xf>
    <xf numFmtId="0" fontId="0" fillId="3" borderId="6" xfId="0" applyFill="1" applyBorder="1" applyProtection="1"/>
    <xf numFmtId="0" fontId="0" fillId="3" borderId="5" xfId="0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right"/>
    </xf>
    <xf numFmtId="0" fontId="0" fillId="3" borderId="8" xfId="0" applyFill="1" applyBorder="1" applyProtection="1"/>
    <xf numFmtId="0" fontId="0" fillId="3" borderId="9" xfId="0" applyFill="1" applyBorder="1" applyProtection="1"/>
    <xf numFmtId="0" fontId="0" fillId="3" borderId="7" xfId="0" applyFill="1" applyBorder="1" applyAlignment="1" applyProtection="1">
      <alignment horizontal="right" vertical="center"/>
    </xf>
    <xf numFmtId="0" fontId="0" fillId="3" borderId="8" xfId="0" applyFill="1" applyBorder="1" applyAlignment="1" applyProtection="1">
      <alignment horizontal="right" vertical="center"/>
    </xf>
    <xf numFmtId="0" fontId="0" fillId="3" borderId="29" xfId="0" applyFill="1" applyBorder="1" applyProtection="1"/>
    <xf numFmtId="0" fontId="0" fillId="3" borderId="24" xfId="0" applyFill="1" applyBorder="1" applyProtection="1"/>
    <xf numFmtId="0" fontId="0" fillId="3" borderId="24" xfId="0" applyFill="1" applyBorder="1" applyAlignment="1" applyProtection="1">
      <alignment horizontal="right"/>
    </xf>
    <xf numFmtId="0" fontId="0" fillId="3" borderId="24" xfId="0" applyFill="1" applyBorder="1" applyAlignment="1" applyProtection="1">
      <alignment horizontal="right" vertical="center"/>
    </xf>
    <xf numFmtId="0" fontId="0" fillId="3" borderId="30" xfId="0" applyFill="1" applyBorder="1" applyProtection="1"/>
    <xf numFmtId="0" fontId="5" fillId="0" borderId="0" xfId="0" applyFont="1"/>
    <xf numFmtId="0" fontId="6" fillId="6" borderId="23" xfId="0" applyFont="1" applyFill="1" applyBorder="1" applyAlignment="1">
      <alignment horizontal="left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5" fillId="9" borderId="32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44" fontId="5" fillId="5" borderId="1" xfId="0" applyNumberFormat="1" applyFont="1" applyFill="1" applyBorder="1" applyAlignment="1">
      <alignment horizontal="center" vertical="center" wrapText="1"/>
    </xf>
    <xf numFmtId="44" fontId="5" fillId="5" borderId="19" xfId="0" applyNumberFormat="1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0" fontId="5" fillId="12" borderId="1" xfId="0" applyFont="1" applyFill="1" applyBorder="1" applyAlignment="1">
      <alignment horizontal="right" vertical="center"/>
    </xf>
    <xf numFmtId="44" fontId="5" fillId="2" borderId="20" xfId="0" applyNumberFormat="1" applyFont="1" applyFill="1" applyBorder="1" applyAlignment="1">
      <alignment horizontal="center" vertical="center" wrapText="1"/>
    </xf>
    <xf numFmtId="44" fontId="5" fillId="2" borderId="21" xfId="0" applyNumberFormat="1" applyFont="1" applyFill="1" applyBorder="1" applyAlignment="1">
      <alignment horizontal="center" vertical="center" wrapText="1"/>
    </xf>
    <xf numFmtId="44" fontId="5" fillId="5" borderId="21" xfId="0" applyNumberFormat="1" applyFont="1" applyFill="1" applyBorder="1" applyAlignment="1">
      <alignment horizontal="center" vertical="center" wrapText="1"/>
    </xf>
    <xf numFmtId="44" fontId="5" fillId="5" borderId="2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8" borderId="20" xfId="0" applyFont="1" applyFill="1" applyBorder="1" applyAlignment="1">
      <alignment horizontal="right" vertical="center"/>
    </xf>
    <xf numFmtId="0" fontId="5" fillId="8" borderId="21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5" fillId="5" borderId="21" xfId="0" applyFont="1" applyFill="1" applyBorder="1" applyAlignment="1">
      <alignment horizontal="right" vertical="center"/>
    </xf>
    <xf numFmtId="0" fontId="5" fillId="12" borderId="21" xfId="0" applyFont="1" applyFill="1" applyBorder="1" applyAlignment="1">
      <alignment horizontal="right" vertical="center"/>
    </xf>
    <xf numFmtId="44" fontId="5" fillId="0" borderId="0" xfId="0" applyNumberFormat="1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top"/>
    </xf>
    <xf numFmtId="0" fontId="0" fillId="3" borderId="2" xfId="0" applyFill="1" applyBorder="1" applyAlignment="1" applyProtection="1">
      <alignment horizontal="right"/>
    </xf>
    <xf numFmtId="0" fontId="0" fillId="3" borderId="5" xfId="0" applyFill="1" applyBorder="1" applyAlignment="1" applyProtection="1">
      <alignment horizontal="right"/>
    </xf>
    <xf numFmtId="0" fontId="0" fillId="3" borderId="5" xfId="0" applyFont="1" applyFill="1" applyBorder="1" applyAlignment="1" applyProtection="1">
      <alignment horizontal="right" vertical="top"/>
    </xf>
    <xf numFmtId="0" fontId="0" fillId="3" borderId="5" xfId="0" applyFont="1" applyFill="1" applyBorder="1" applyAlignment="1" applyProtection="1">
      <alignment horizontal="right"/>
    </xf>
    <xf numFmtId="0" fontId="0" fillId="3" borderId="7" xfId="0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top"/>
    </xf>
    <xf numFmtId="0" fontId="4" fillId="3" borderId="0" xfId="0" applyFont="1" applyFill="1" applyBorder="1" applyProtection="1"/>
    <xf numFmtId="44" fontId="4" fillId="3" borderId="0" xfId="1" applyNumberFormat="1" applyFont="1" applyFill="1" applyBorder="1" applyAlignment="1" applyProtection="1">
      <alignment horizontal="left" vertical="top"/>
    </xf>
    <xf numFmtId="0" fontId="0" fillId="3" borderId="0" xfId="0" applyFont="1" applyFill="1" applyBorder="1" applyProtection="1"/>
    <xf numFmtId="44" fontId="4" fillId="0" borderId="0" xfId="1" applyNumberFormat="1" applyFont="1" applyFill="1" applyBorder="1" applyAlignment="1" applyProtection="1">
      <alignment horizontal="left" vertical="top"/>
      <protection hidden="1"/>
    </xf>
    <xf numFmtId="0" fontId="0" fillId="3" borderId="1" xfId="0" applyFont="1" applyFill="1" applyBorder="1" applyAlignment="1" applyProtection="1">
      <alignment horizontal="left" vertical="center" wrapText="1"/>
    </xf>
    <xf numFmtId="44" fontId="0" fillId="0" borderId="1" xfId="0" applyNumberFormat="1" applyBorder="1"/>
    <xf numFmtId="0" fontId="0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0" fontId="0" fillId="0" borderId="1" xfId="0" applyBorder="1"/>
    <xf numFmtId="0" fontId="1" fillId="3" borderId="1" xfId="0" applyFont="1" applyFill="1" applyBorder="1" applyAlignment="1" applyProtection="1">
      <alignment horizontal="left" vertical="top"/>
    </xf>
    <xf numFmtId="0" fontId="7" fillId="3" borderId="5" xfId="0" applyFont="1" applyFill="1" applyBorder="1" applyAlignment="1" applyProtection="1">
      <alignment horizontal="right" vertical="top"/>
      <protection hidden="1"/>
    </xf>
    <xf numFmtId="0" fontId="1" fillId="3" borderId="5" xfId="0" applyFont="1" applyFill="1" applyBorder="1" applyAlignment="1" applyProtection="1">
      <alignment horizontal="right" vertical="center"/>
      <protection hidden="1"/>
    </xf>
    <xf numFmtId="0" fontId="1" fillId="3" borderId="5" xfId="0" applyFont="1" applyFill="1" applyBorder="1" applyAlignment="1" applyProtection="1">
      <alignment horizontal="right"/>
    </xf>
    <xf numFmtId="44" fontId="4" fillId="3" borderId="0" xfId="1" applyNumberFormat="1" applyFont="1" applyFill="1" applyBorder="1" applyAlignment="1" applyProtection="1">
      <alignment horizontal="left" vertical="top"/>
      <protection hidden="1"/>
    </xf>
    <xf numFmtId="0" fontId="0" fillId="16" borderId="1" xfId="0" applyFont="1" applyFill="1" applyBorder="1" applyAlignment="1" applyProtection="1">
      <alignment horizontal="center" vertical="top"/>
      <protection locked="0"/>
    </xf>
    <xf numFmtId="164" fontId="0" fillId="16" borderId="1" xfId="2" applyNumberFormat="1" applyFont="1" applyFill="1" applyBorder="1" applyAlignment="1" applyProtection="1">
      <alignment horizontal="center" vertical="top"/>
      <protection locked="0"/>
    </xf>
    <xf numFmtId="44" fontId="0" fillId="16" borderId="1" xfId="2" applyFont="1" applyFill="1" applyBorder="1" applyAlignment="1" applyProtection="1">
      <alignment horizontal="center" vertical="top"/>
      <protection locked="0"/>
    </xf>
    <xf numFmtId="44" fontId="4" fillId="16" borderId="1" xfId="2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Protection="1"/>
    <xf numFmtId="44" fontId="4" fillId="0" borderId="0" xfId="1" applyNumberFormat="1" applyFont="1" applyAlignment="1">
      <alignment horizontal="left" vertical="top"/>
    </xf>
    <xf numFmtId="1" fontId="4" fillId="16" borderId="1" xfId="2" applyNumberForma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0" fillId="15" borderId="0" xfId="0" applyFill="1" applyProtection="1">
      <protection hidden="1"/>
    </xf>
    <xf numFmtId="0" fontId="1" fillId="0" borderId="1" xfId="0" applyFont="1" applyBorder="1" applyAlignment="1">
      <alignment wrapText="1"/>
    </xf>
    <xf numFmtId="44" fontId="0" fillId="15" borderId="0" xfId="0" applyNumberFormat="1" applyFill="1" applyProtection="1">
      <protection hidden="1"/>
    </xf>
    <xf numFmtId="44" fontId="1" fillId="3" borderId="0" xfId="1" applyNumberFormat="1" applyFont="1" applyFill="1" applyBorder="1" applyAlignment="1" applyProtection="1">
      <alignment horizontal="left" vertical="top"/>
      <protection hidden="1"/>
    </xf>
    <xf numFmtId="0" fontId="11" fillId="0" borderId="0" xfId="0" applyFont="1" applyFill="1" applyBorder="1" applyAlignment="1">
      <alignment horizontal="left" vertical="center" wrapText="1"/>
    </xf>
    <xf numFmtId="44" fontId="11" fillId="0" borderId="0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44" fontId="4" fillId="13" borderId="2" xfId="1" applyNumberFormat="1" applyFont="1" applyFill="1" applyBorder="1" applyAlignment="1" applyProtection="1">
      <alignment horizontal="left" vertical="top"/>
      <protection hidden="1"/>
    </xf>
    <xf numFmtId="44" fontId="4" fillId="13" borderId="5" xfId="1" applyNumberFormat="1" applyFont="1" applyFill="1" applyBorder="1" applyAlignment="1" applyProtection="1">
      <alignment horizontal="left" vertical="top"/>
      <protection hidden="1"/>
    </xf>
    <xf numFmtId="44" fontId="1" fillId="13" borderId="10" xfId="1" applyNumberFormat="1" applyFont="1" applyFill="1" applyBorder="1" applyAlignment="1" applyProtection="1">
      <alignment horizontal="left" vertical="top"/>
      <protection hidden="1"/>
    </xf>
    <xf numFmtId="44" fontId="1" fillId="13" borderId="7" xfId="1" applyNumberFormat="1" applyFont="1" applyFill="1" applyBorder="1" applyAlignment="1" applyProtection="1">
      <alignment horizontal="left" vertical="top"/>
      <protection hidden="1"/>
    </xf>
    <xf numFmtId="44" fontId="1" fillId="13" borderId="3" xfId="1" applyNumberFormat="1" applyFont="1" applyFill="1" applyBorder="1" applyAlignment="1" applyProtection="1">
      <alignment horizontal="left" vertical="top"/>
      <protection hidden="1"/>
    </xf>
    <xf numFmtId="44" fontId="4" fillId="3" borderId="5" xfId="1" applyNumberFormat="1" applyFont="1" applyFill="1" applyBorder="1" applyAlignment="1" applyProtection="1">
      <alignment horizontal="left" vertical="top"/>
    </xf>
    <xf numFmtId="44" fontId="1" fillId="13" borderId="8" xfId="1" applyNumberFormat="1" applyFont="1" applyFill="1" applyBorder="1" applyAlignment="1" applyProtection="1">
      <alignment horizontal="left" vertical="top"/>
      <protection hidden="1"/>
    </xf>
    <xf numFmtId="0" fontId="12" fillId="3" borderId="0" xfId="0" applyFont="1" applyFill="1" applyBorder="1" applyAlignment="1" applyProtection="1">
      <alignment horizontal="center" vertical="center"/>
    </xf>
    <xf numFmtId="44" fontId="13" fillId="4" borderId="4" xfId="1" applyNumberFormat="1" applyFont="1" applyFill="1" applyBorder="1" applyAlignment="1" applyProtection="1">
      <alignment horizontal="left" vertical="top"/>
      <protection hidden="1"/>
    </xf>
    <xf numFmtId="0" fontId="13" fillId="3" borderId="6" xfId="0" applyFont="1" applyFill="1" applyBorder="1" applyProtection="1"/>
    <xf numFmtId="44" fontId="13" fillId="4" borderId="6" xfId="1" applyNumberFormat="1" applyFont="1" applyFill="1" applyBorder="1" applyAlignment="1" applyProtection="1">
      <alignment horizontal="left" vertical="top"/>
      <protection hidden="1"/>
    </xf>
    <xf numFmtId="44" fontId="12" fillId="4" borderId="9" xfId="1" applyNumberFormat="1" applyFont="1" applyFill="1" applyBorder="1" applyAlignment="1" applyProtection="1">
      <alignment horizontal="left" vertical="top"/>
      <protection hidden="1"/>
    </xf>
    <xf numFmtId="0" fontId="13" fillId="3" borderId="0" xfId="0" applyFont="1" applyFill="1" applyBorder="1" applyProtection="1"/>
    <xf numFmtId="44" fontId="12" fillId="4" borderId="4" xfId="1" applyNumberFormat="1" applyFont="1" applyFill="1" applyBorder="1" applyAlignment="1" applyProtection="1">
      <alignment horizontal="left" vertical="top"/>
      <protection hidden="1"/>
    </xf>
    <xf numFmtId="44" fontId="13" fillId="3" borderId="6" xfId="1" applyNumberFormat="1" applyFont="1" applyFill="1" applyBorder="1" applyAlignment="1" applyProtection="1">
      <alignment horizontal="left" vertical="top"/>
    </xf>
    <xf numFmtId="44" fontId="12" fillId="4" borderId="12" xfId="1" applyNumberFormat="1" applyFont="1" applyFill="1" applyBorder="1" applyAlignment="1" applyProtection="1">
      <alignment horizontal="left" vertical="top"/>
      <protection hidden="1"/>
    </xf>
    <xf numFmtId="44" fontId="1" fillId="0" borderId="0" xfId="1" applyNumberFormat="1" applyFont="1" applyFill="1" applyBorder="1" applyAlignment="1" applyProtection="1">
      <alignment horizontal="left" vertical="top"/>
      <protection hidden="1"/>
    </xf>
    <xf numFmtId="44" fontId="10" fillId="13" borderId="7" xfId="1" applyNumberFormat="1" applyFont="1" applyFill="1" applyBorder="1" applyAlignment="1" applyProtection="1">
      <alignment horizontal="left" vertical="top"/>
      <protection hidden="1"/>
    </xf>
    <xf numFmtId="44" fontId="10" fillId="13" borderId="2" xfId="1" applyNumberFormat="1" applyFont="1" applyFill="1" applyBorder="1" applyAlignment="1" applyProtection="1">
      <alignment horizontal="left" vertical="top"/>
      <protection hidden="1"/>
    </xf>
    <xf numFmtId="0" fontId="13" fillId="15" borderId="0" xfId="0" applyFont="1" applyFill="1" applyAlignment="1" applyProtection="1">
      <alignment horizontal="right"/>
    </xf>
    <xf numFmtId="0" fontId="1" fillId="3" borderId="5" xfId="0" quotePrefix="1" applyFont="1" applyFill="1" applyBorder="1" applyAlignment="1" applyProtection="1">
      <alignment horizontal="right" vertical="top"/>
    </xf>
    <xf numFmtId="44" fontId="1" fillId="3" borderId="0" xfId="0" applyNumberFormat="1" applyFont="1" applyFill="1" applyBorder="1" applyProtection="1"/>
    <xf numFmtId="0" fontId="3" fillId="6" borderId="5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10" fillId="14" borderId="5" xfId="0" applyFont="1" applyFill="1" applyBorder="1" applyAlignment="1" applyProtection="1">
      <alignment horizontal="center" vertical="center" wrapText="1"/>
    </xf>
    <xf numFmtId="0" fontId="10" fillId="14" borderId="0" xfId="0" applyFont="1" applyFill="1" applyBorder="1" applyAlignment="1" applyProtection="1">
      <alignment horizontal="center" vertical="center"/>
    </xf>
    <xf numFmtId="0" fontId="10" fillId="14" borderId="6" xfId="0" applyFont="1" applyFill="1" applyBorder="1" applyAlignment="1" applyProtection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3" fillId="6" borderId="2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 xr:uid="{EE01F36A-0EEF-4484-A21A-237F09336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47628</xdr:rowOff>
    </xdr:from>
    <xdr:to>
      <xdr:col>4</xdr:col>
      <xdr:colOff>126999</xdr:colOff>
      <xdr:row>5</xdr:row>
      <xdr:rowOff>142986</xdr:rowOff>
    </xdr:to>
    <xdr:pic>
      <xdr:nvPicPr>
        <xdr:cNvPr id="3" name="Picture 2" descr="Image result for first american">
          <a:extLst>
            <a:ext uri="{FF2B5EF4-FFF2-40B4-BE49-F238E27FC236}">
              <a16:creationId xmlns:a16="http://schemas.microsoft.com/office/drawing/2014/main" id="{02D9E825-5BA7-41C9-915D-C9B90729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281" y="250034"/>
          <a:ext cx="2484437" cy="859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2"/>
  <sheetViews>
    <sheetView showGridLines="0" showRowColHeaders="0" tabSelected="1" zoomScaleNormal="100" workbookViewId="0">
      <selection activeCell="E22" sqref="E22"/>
    </sheetView>
  </sheetViews>
  <sheetFormatPr defaultColWidth="8.6640625" defaultRowHeight="14.4" x14ac:dyDescent="0.3"/>
  <cols>
    <col min="1" max="1" width="2.44140625" style="2" customWidth="1"/>
    <col min="2" max="2" width="2.6640625" style="2" customWidth="1"/>
    <col min="3" max="3" width="34" style="3" customWidth="1"/>
    <col min="4" max="4" width="1.44140625" style="3" customWidth="1"/>
    <col min="5" max="5" width="18.44140625" style="2" customWidth="1"/>
    <col min="6" max="6" width="2.6640625" style="2" customWidth="1"/>
    <col min="7" max="7" width="2.109375" style="2" customWidth="1"/>
    <col min="8" max="8" width="52.88671875" style="4" customWidth="1"/>
    <col min="9" max="9" width="1.88671875" style="4" customWidth="1"/>
    <col min="10" max="13" width="15.6640625" style="2" customWidth="1"/>
    <col min="14" max="14" width="2.109375" style="2" customWidth="1"/>
    <col min="15" max="15" width="3" style="2" customWidth="1"/>
    <col min="16" max="16" width="2.44140625" style="2" customWidth="1"/>
    <col min="17" max="17" width="8" style="2" bestFit="1" customWidth="1"/>
    <col min="18" max="18" width="10.5546875" style="2" bestFit="1" customWidth="1"/>
    <col min="19" max="16384" width="8.6640625" style="2"/>
  </cols>
  <sheetData>
    <row r="1" spans="2:15" ht="15" thickBot="1" x14ac:dyDescent="0.35"/>
    <row r="2" spans="2:15" x14ac:dyDescent="0.3">
      <c r="B2" s="5"/>
      <c r="C2" s="7"/>
      <c r="D2" s="7"/>
      <c r="E2" s="6"/>
      <c r="F2" s="6"/>
      <c r="G2" s="6"/>
      <c r="H2" s="8"/>
      <c r="I2" s="8"/>
      <c r="J2" s="6"/>
      <c r="K2" s="6"/>
      <c r="L2" s="6"/>
      <c r="M2" s="6"/>
      <c r="N2" s="6"/>
      <c r="O2" s="9"/>
    </row>
    <row r="3" spans="2:15" x14ac:dyDescent="0.3">
      <c r="B3" s="10"/>
      <c r="C3" s="12"/>
      <c r="D3" s="12"/>
      <c r="E3" s="11"/>
      <c r="F3" s="11"/>
      <c r="G3" s="11"/>
      <c r="H3" s="13"/>
      <c r="I3" s="13"/>
      <c r="J3" s="11"/>
      <c r="K3" s="11"/>
      <c r="L3" s="11"/>
      <c r="M3" s="11"/>
      <c r="N3" s="11"/>
      <c r="O3" s="14"/>
    </row>
    <row r="4" spans="2:15" ht="15" customHeight="1" x14ac:dyDescent="0.3">
      <c r="B4" s="146" t="s">
        <v>13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2:15" x14ac:dyDescent="0.3">
      <c r="B5" s="10"/>
      <c r="C5" s="12"/>
      <c r="D5" s="12"/>
      <c r="E5" s="11"/>
      <c r="F5" s="11"/>
      <c r="G5" s="11"/>
      <c r="H5" s="13"/>
      <c r="I5" s="13"/>
      <c r="J5" s="11"/>
      <c r="K5" s="11"/>
      <c r="L5" s="11"/>
      <c r="M5" s="11"/>
      <c r="N5" s="11"/>
      <c r="O5" s="14"/>
    </row>
    <row r="6" spans="2:15" x14ac:dyDescent="0.3">
      <c r="B6" s="10"/>
      <c r="C6" s="12"/>
      <c r="D6" s="12"/>
      <c r="E6" s="11"/>
      <c r="F6" s="11"/>
      <c r="G6" s="11"/>
      <c r="H6" s="13"/>
      <c r="I6" s="13"/>
      <c r="J6" s="11"/>
      <c r="K6" s="11"/>
      <c r="L6" s="11"/>
      <c r="M6" s="11"/>
      <c r="N6" s="11"/>
      <c r="O6" s="14"/>
    </row>
    <row r="7" spans="2:15" x14ac:dyDescent="0.3">
      <c r="B7" s="10"/>
      <c r="C7" s="77"/>
      <c r="D7" s="15"/>
      <c r="E7" s="16"/>
      <c r="F7" s="17"/>
      <c r="G7" s="11"/>
      <c r="H7" s="18"/>
      <c r="I7" s="19"/>
      <c r="J7" s="16"/>
      <c r="K7" s="16"/>
      <c r="L7" s="16"/>
      <c r="M7" s="16"/>
      <c r="N7" s="17"/>
      <c r="O7" s="14"/>
    </row>
    <row r="8" spans="2:15" ht="32.25" customHeight="1" x14ac:dyDescent="0.3">
      <c r="B8" s="10"/>
      <c r="C8" s="143" t="s">
        <v>28</v>
      </c>
      <c r="D8" s="144"/>
      <c r="E8" s="144"/>
      <c r="F8" s="145"/>
      <c r="G8" s="11"/>
      <c r="H8" s="140" t="s">
        <v>9</v>
      </c>
      <c r="I8" s="141"/>
      <c r="J8" s="141"/>
      <c r="K8" s="141"/>
      <c r="L8" s="141"/>
      <c r="M8" s="141"/>
      <c r="N8" s="142"/>
      <c r="O8" s="14"/>
    </row>
    <row r="9" spans="2:15" x14ac:dyDescent="0.3">
      <c r="B9" s="10"/>
      <c r="C9" s="78"/>
      <c r="D9" s="12"/>
      <c r="E9" s="11"/>
      <c r="F9" s="20"/>
      <c r="G9" s="11"/>
      <c r="H9" s="21"/>
      <c r="I9" s="13"/>
      <c r="J9" s="11"/>
      <c r="K9" s="11"/>
      <c r="L9" s="11"/>
      <c r="M9" s="11"/>
      <c r="N9" s="20"/>
      <c r="O9" s="14"/>
    </row>
    <row r="10" spans="2:15" ht="18.899999999999999" customHeight="1" x14ac:dyDescent="0.3">
      <c r="B10" s="10"/>
      <c r="C10" s="78"/>
      <c r="D10" s="12"/>
      <c r="E10" s="11"/>
      <c r="F10" s="20"/>
      <c r="G10" s="11"/>
      <c r="H10" s="21"/>
      <c r="I10" s="13"/>
      <c r="J10" s="23" t="s">
        <v>7</v>
      </c>
      <c r="K10" s="125" t="s">
        <v>38</v>
      </c>
      <c r="L10" s="23" t="s">
        <v>8</v>
      </c>
      <c r="M10" s="125" t="s">
        <v>38</v>
      </c>
      <c r="N10" s="20"/>
      <c r="O10" s="14"/>
    </row>
    <row r="11" spans="2:15" x14ac:dyDescent="0.3">
      <c r="B11" s="10"/>
      <c r="C11" s="79" t="s">
        <v>0</v>
      </c>
      <c r="D11" s="22"/>
      <c r="E11" s="97" t="s">
        <v>3</v>
      </c>
      <c r="F11" s="20"/>
      <c r="G11" s="11"/>
      <c r="H11" s="79" t="s">
        <v>16</v>
      </c>
      <c r="I11" s="13"/>
      <c r="J11" s="118">
        <f>(IF(OR(ISBLANK(E13),E13=0),0,IF(E11="Davidson",Calculations!P4,IF(E11="Rutherford",Calculations!P5,IF(E11="Williamson",Calculations!P6,IF(E11="Hamilton",Calculations!P7,IF(E11="Knox",Calculations!P8,IF(E11="Shelby",Calculations!P9,IF(E11="All Other Counties",Calculations!P12,IF(E11="Montgomery",Calculations!P10,IF(E11="Sumner",Calculations!P11)))))))))))</f>
        <v>1643.5</v>
      </c>
      <c r="K11" s="126"/>
      <c r="L11" s="118">
        <f>(J11*1.2)</f>
        <v>1972.1999999999998</v>
      </c>
      <c r="M11" s="126"/>
      <c r="N11" s="20"/>
      <c r="O11" s="14"/>
    </row>
    <row r="12" spans="2:15" x14ac:dyDescent="0.3">
      <c r="B12" s="10"/>
      <c r="C12" s="79"/>
      <c r="D12" s="12"/>
      <c r="E12" s="85"/>
      <c r="F12" s="20"/>
      <c r="G12" s="11"/>
      <c r="H12" s="79"/>
      <c r="I12" s="13"/>
      <c r="J12" s="101"/>
      <c r="K12" s="127"/>
      <c r="L12" s="101"/>
      <c r="M12" s="127"/>
      <c r="N12" s="20"/>
      <c r="O12" s="14"/>
    </row>
    <row r="13" spans="2:15" x14ac:dyDescent="0.3">
      <c r="B13" s="10"/>
      <c r="C13" s="79" t="s">
        <v>23</v>
      </c>
      <c r="D13" s="12"/>
      <c r="E13" s="98">
        <v>350000</v>
      </c>
      <c r="F13" s="20"/>
      <c r="G13" s="11"/>
      <c r="H13" s="79" t="s">
        <v>20</v>
      </c>
      <c r="I13" s="13"/>
      <c r="J13" s="119">
        <f>(IF(OR(ISBLANK(E15),E15=0),0,IF(E11="Montgomery",Calculations!Q10,IF(E11="Sumner",Calculations!Q11,IF(E11="Davidson",Calculations!Q4,IF(E11="Rutherford",Calculations!Q5,IF(E11="Williamson",Calculations!Q6,IF(E11="Hamilton",Calculations!Q7,IF(E11="Knox",Calculations!Q8,IF(E11="Shelby",Calculations!Q9,IF(E11="All Other Counties",Calculations!Q12)))))))))*-1))</f>
        <v>0</v>
      </c>
      <c r="K13" s="128"/>
      <c r="L13" s="119">
        <f>IF(J13 = "", "", J13*1.2)</f>
        <v>0</v>
      </c>
      <c r="M13" s="128"/>
      <c r="N13" s="20"/>
      <c r="O13" s="14"/>
    </row>
    <row r="14" spans="2:15" x14ac:dyDescent="0.3">
      <c r="B14" s="10"/>
      <c r="C14" s="79"/>
      <c r="D14" s="12"/>
      <c r="E14" s="85"/>
      <c r="F14" s="20"/>
      <c r="G14" s="11"/>
      <c r="H14" s="79"/>
      <c r="I14" s="13"/>
      <c r="J14" s="101"/>
      <c r="K14" s="127"/>
      <c r="L14" s="101"/>
      <c r="M14" s="127"/>
      <c r="N14" s="20"/>
      <c r="O14" s="14"/>
    </row>
    <row r="15" spans="2:15" x14ac:dyDescent="0.3">
      <c r="B15" s="10"/>
      <c r="C15" s="79" t="s">
        <v>37</v>
      </c>
      <c r="D15" s="12"/>
      <c r="E15" s="99">
        <v>0</v>
      </c>
      <c r="F15" s="20"/>
      <c r="G15" s="11"/>
      <c r="H15" s="82" t="s">
        <v>25</v>
      </c>
      <c r="I15" s="13"/>
      <c r="J15" s="121">
        <f>ROUNDUP(((IF(E13=0, 0,IF(E11="Davidson",IF(J11+J13&lt;=200,200,J11+J13),IF(E11="Rutherford",IF(J11+J13&lt;=200,200,J11+J13),IF(E11="Williamson",IF(J11+J13&lt;=200,200,J11+J13),IF(E11="Hamilton",IF(J11+J13&lt;=200,200,J11+J13),IF(E11="Knox",IF(J11+J13&lt;=200,200,J11+J13),IF(E11="Shelby",IF(J11+J13&lt;=225,225,J11+J13),IF(E11="All Other Counties",IF(J11+J13&lt;=165,165,J11+J13),IF(E11="Montgomery",IF(J11+J13&lt;=200,200,J11+J13),IF(E11="Sumner",IF(J11+J13&lt;=200,200,J11+J13))))))))))))),0)</f>
        <v>1644</v>
      </c>
      <c r="K15" s="129">
        <f>IF(E17=0,0,(J15+J21-K21))</f>
        <v>328</v>
      </c>
      <c r="L15" s="121">
        <f>ROUNDUP(((IF(E13=0, 0,IF(E11="Davidson",IF(L11+L13&lt;=200,200,L11+L13),IF(E11="Rutherford",IF(L11+L13&lt;=200,200,L11+L13),IF(E11="Williamson",IF(L11+L13&lt;=200,200,L11+L13),IF(E11="Hamilton",IF(L11+L13&lt;=200,200,L11+L13),IF(E11="Knox",IF(L11+L13&lt;=200,200,L11+L13),IF(E11="Shelby",IF(L11+L13&lt;=225,225,L11+L13),IF(E11="All Other Counties",IF(L11+L13&lt;=165,165,L11+L13),IF(E11="Montgomery",IF(L11+L13&lt;=200,200,L11+L13),IF(E11="Sumner",IF(L11+L13&lt;=200,200,L11+L13))))))))))))),0)</f>
        <v>1973</v>
      </c>
      <c r="M15" s="129">
        <f>IF(E17=0,0,(L15+L21-M21))</f>
        <v>384</v>
      </c>
      <c r="N15" s="20"/>
      <c r="O15" s="14"/>
    </row>
    <row r="16" spans="2:15" x14ac:dyDescent="0.3">
      <c r="B16" s="10"/>
      <c r="C16" s="80"/>
      <c r="D16" s="12"/>
      <c r="E16" s="85"/>
      <c r="F16" s="20"/>
      <c r="G16" s="11"/>
      <c r="H16" s="82" t="s">
        <v>39</v>
      </c>
      <c r="I16" s="13"/>
      <c r="J16" s="83"/>
      <c r="K16" s="130"/>
      <c r="L16" s="83"/>
      <c r="M16" s="130"/>
      <c r="N16" s="20"/>
      <c r="O16" s="14"/>
    </row>
    <row r="17" spans="2:18" x14ac:dyDescent="0.3">
      <c r="B17" s="10"/>
      <c r="C17" s="79" t="s">
        <v>24</v>
      </c>
      <c r="D17" s="12"/>
      <c r="E17" s="100">
        <v>262500</v>
      </c>
      <c r="F17" s="20"/>
      <c r="G17" s="11"/>
      <c r="H17" s="79" t="s">
        <v>26</v>
      </c>
      <c r="I17" s="13"/>
      <c r="J17" s="136">
        <f>ROUNDUP(IF(E13&gt;0, 0, IF(OR(ISBLANK(E17), E17 = 0), 0, IF(E11="Davidson",Calculations!R4,IF(E11="Rutherford",Calculations!R5,IF(E11="Montgomery",Calculations!R10,IF(E11="Sumner",Calculations!R11,IF(E11="Williamson", Calculations!R6,IF(E11="Hamilton",Calculations!R7,IF(E11="Knox",Calculations!R8,IF(E11="Shelby",Calculations!R9,IF(E11="All Other Counties",Calculations!R12))))))))))),0)</f>
        <v>0</v>
      </c>
      <c r="K17" s="131"/>
      <c r="L17" s="122">
        <f>ROUNDUP(IF(E13&gt;0, 0, IF(OR(ISBLANK(E17), E17 = 0), 0, IF(E11="Davidson",Calculations!R4*1.2,IF(E11="Rutherford",Calculations!R5*1.2,IF(E11="Montgomery",Calculations!R10*1.2,IF(E11="Sumner",Calculations!R11*1.2,IF(E11="Williamson", Calculations!R6*1.2,IF(E11="Hamilton",Calculations!R7*1.2,IF(E11="Knox",Calculations!R8*1.2,IF(E11="Shelby",Calculations!R9*1.2,IF(E11="All Other Counties",Calculations!R12*1.2))))))))))),0)</f>
        <v>0</v>
      </c>
      <c r="M17" s="131"/>
      <c r="N17" s="20"/>
      <c r="O17" s="14"/>
      <c r="Q17" s="107"/>
      <c r="R17" s="109"/>
    </row>
    <row r="18" spans="2:18" x14ac:dyDescent="0.3">
      <c r="B18" s="10"/>
      <c r="C18" s="78"/>
      <c r="D18" s="12"/>
      <c r="E18" s="11"/>
      <c r="F18" s="20"/>
      <c r="G18" s="11"/>
      <c r="H18" s="76" t="s">
        <v>44</v>
      </c>
      <c r="I18" s="13"/>
      <c r="J18" s="123"/>
      <c r="K18" s="132"/>
      <c r="L18" s="84"/>
      <c r="M18" s="132"/>
      <c r="N18" s="20"/>
      <c r="O18" s="14"/>
      <c r="Q18" s="107"/>
    </row>
    <row r="19" spans="2:18" x14ac:dyDescent="0.3">
      <c r="B19" s="10"/>
      <c r="C19" s="95" t="s">
        <v>29</v>
      </c>
      <c r="D19" s="12"/>
      <c r="E19" s="103"/>
      <c r="F19" s="20"/>
      <c r="G19" s="11"/>
      <c r="H19" s="79" t="s">
        <v>26</v>
      </c>
      <c r="I19" s="13"/>
      <c r="J19" s="135">
        <f>ROUNDUP((((IF(E13&gt;0,0,IF(E17=0, 0,IF(E11="Davidson",IF(J17&lt;=266.67,200,J17*0.75),IF(E11="Rutherford",IF(J17&lt;=266.67,200,J17*0.75),IF(E11="Williamson",IF(J17&lt;=266.67,200,J17*0.75),IF(E11="Hamilton",IF(J17&lt;=266.67,200,J17*0.75),IF(E11="Knox",IF(J17&lt;=266.67,200,J17*0.75),IF(E11="Shelby",IF(J17&lt;=225,225,J17*0.75),IF(E11="All Other Counties",IF(J17&lt;=220,165,J17*0.75),IF(E11="Montgomery",IF(J17&lt;=200,200,J17*0.75),IF(E11="Sumner",IF(J17&lt;=200,200,J17*0.75))))))))))))))),0)</f>
        <v>0</v>
      </c>
      <c r="K19" s="129"/>
      <c r="L19" s="124">
        <f>ROUNDUP((((IF(E13&gt;0,0,IF(E17=0, 0,IF(E11="Davidson",IF(L17&lt;=266.67,200,L17*0.75),IF(E11="Rutherford",IF(L17&lt;=266.67,200,L17*0.75),IF(E11="Williamson",IF(L17&lt;=266.67,200,L17*0.75),IF(E11="Hamilton",IF(L17&lt;=266.67,200,L17*0.75),IF(E11="Knox",IF(L17&lt;=266.67,200,L17*0.75),IF(E11="Shelby",IF((L17*0.75)&lt;=225,225,L17*0.75),IF(E11="All Other Counties",IF(L17&lt;=220,165,L17*0.75),IF(E11="Montgomery",IF((L17*0.75)&lt;=200,200,L17*0.75),IF(E11="Sumner",IF((L17*0.75)&lt;=200,200,L17*0.75))))))))))))))),0)</f>
        <v>0</v>
      </c>
      <c r="M19" s="129"/>
      <c r="N19" s="20"/>
      <c r="O19" s="14"/>
    </row>
    <row r="20" spans="2:18" x14ac:dyDescent="0.3">
      <c r="B20" s="10"/>
      <c r="C20" s="78"/>
      <c r="D20" s="12"/>
      <c r="E20" s="11"/>
      <c r="F20" s="20"/>
      <c r="G20" s="11"/>
      <c r="H20" s="76" t="s">
        <v>43</v>
      </c>
      <c r="I20" s="13"/>
      <c r="J20" s="83"/>
      <c r="K20" s="130"/>
      <c r="L20" s="83"/>
      <c r="M20" s="130"/>
      <c r="N20" s="20"/>
      <c r="O20" s="14"/>
    </row>
    <row r="21" spans="2:18" x14ac:dyDescent="0.3">
      <c r="B21" s="10"/>
      <c r="C21" s="78"/>
      <c r="D21" s="12"/>
      <c r="E21" s="11"/>
      <c r="F21" s="20"/>
      <c r="G21" s="11"/>
      <c r="H21" s="82" t="s">
        <v>27</v>
      </c>
      <c r="I21" s="13"/>
      <c r="J21" s="120">
        <f>ROUNDUP((IF(AND(E13&gt;0, E17&gt;0), IF(E11="Davidson", IF(E17&lt;=E13, 50, Calculations!R4 - Calculations!P4 +50),IF(E11="Rutherford",IF(E17&lt;=E13, 50, Calculations!R5 - Calculations!P5+50),IF(E11="Williamson",IF(E17&lt;=E13,50, Calculations!R6 - Calculations!P6+50),IF(E11="Hamilton",IF(E17&lt;=E13,50, Calculations!R7 - Calculations!P7 + 50),IF(E11="Knox",IF(E17&lt;=E13,50,  Calculations!R8 - Calculations!P8+50),IF(E11="Shelby",IF(E17&lt;=E13,50,  Calculations!R9 - Calculations!P9 + 50),IF(E11="All Other Counties",IF(E17&lt;=E13,50, Calculations!R12 - Calculations!P12+50),IF(E11="Montgomery",IF(E17&lt;=E13,50,  Calculations!R10 - Calculations!P10 + 50),IF(E11="Sumner",IF(E17&lt;=E13,50, Calculations!R11 - Calculations!P11+50)))))))))), )),0)</f>
        <v>50</v>
      </c>
      <c r="K21" s="133">
        <f>ROUNDUP(IF(E13&gt;0, IF(OR(ISBLANK(E17), E17 = 0), 0, IF(E11="Davidson",Calculations!R4,IF(E11="Rutherford",Calculations!R5,IF(E11="Williamson", Calculations!R6,IF(E11="Hamilton",Calculations!R7,IF(E11="Knox",Calculations!R8,IF(E11="Shelby",Calculations!R9,IF(E11="All Other Counties",Calculations!R12,IF(E11="Montgomery",Calculations!R10,IF(E11="Sumner",Calculations!R11))))))))))),0)</f>
        <v>1366</v>
      </c>
      <c r="L21" s="120">
        <f>ROUNDUP((IF(AND(E13&gt;0, E17&gt;0), IF(E11="Davidson", IF(E17&lt;=E13, 50, Calculations!R4*1.2 - Calculations!P4*1.2 +50),IF(E11="Rutherford",IF(E17&lt;=E13, 50, Calculations!R5*1.2 - Calculations!P5*1.2 +50),IF(E11="Williamson",IF(E17&lt;=E13,50, Calculations!R6*1.2 - Calculations!P6*1.2 +50),IF(E11="Hamilton",IF(E17&lt;=E13,50, Calculations!R7*1.2 - Calculations!P7*1.2 + 50),IF(E11="Knox",IF(E17&lt;=E13,50,  Calculations!R8*1.2 - Calculations!P8*1.2 +50),IF(E11="Shelby",IF(E17&lt;=E13,50,  Calculations!R9*1.2 - Calculations!P9*1.2 + 50),IF(E11="All Other Counties",IF(E17&lt;=E13,50, Calculations!R12*1.2 - Calculations!P12*1.2 +50),IF(E11="Montgomery",IF(E17&lt;=E13,50,  Calculations!R10*1.2 - Calculations!P10*1.2 + 50),IF(E11="Sumner",IF(E17&lt;=E13,50, Calculations!R11*1.2 - Calculations!P11*1.2 +50)))))))))), )),0)</f>
        <v>50</v>
      </c>
      <c r="M21" s="133">
        <f>ROUNDUP(IF(E13&gt;0, IF(OR(ISBLANK(E17), E17 = 0), 0, IF(E11="Davidson",Calculations!R4*1.2,IF(E11="Rutherford",Calculations!R5*1.2,IF(E11="Williamson", Calculations!R6*1.2,IF(E11="Hamilton",Calculations!R7*1.2,IF(E11="Knox",Calculations!R8*1.2,IF(E11="Shelby",Calculations!R9*1.2,IF(E11="All Other Counties",Calculations!R12*1.2,IF(E11="Montgomery",Calculations!R10*1.2,IF(E11="Sumner",Calculations!R11*1.2))))))))))),0)</f>
        <v>1639</v>
      </c>
      <c r="N21" s="20"/>
      <c r="O21" s="14"/>
    </row>
    <row r="22" spans="2:18" x14ac:dyDescent="0.3">
      <c r="B22" s="10"/>
      <c r="C22" s="78"/>
      <c r="D22" s="12"/>
      <c r="E22" s="11"/>
      <c r="F22" s="20"/>
      <c r="G22" s="11"/>
      <c r="H22" s="82"/>
      <c r="I22" s="13"/>
      <c r="J22" s="134"/>
      <c r="K22" s="134"/>
      <c r="L22" s="134"/>
      <c r="M22" s="134"/>
      <c r="N22" s="20"/>
      <c r="O22" s="14"/>
    </row>
    <row r="23" spans="2:18" x14ac:dyDescent="0.3">
      <c r="B23" s="10"/>
      <c r="C23" s="78"/>
      <c r="D23" s="12"/>
      <c r="E23" s="11"/>
      <c r="F23" s="20"/>
      <c r="G23" s="11"/>
      <c r="H23" s="138" t="str">
        <f>IF(AND(E13&gt;0,E17&gt;0),"Total Owners + Concurrent Loan Policy","")</f>
        <v>Total Owners + Concurrent Loan Policy</v>
      </c>
      <c r="I23" s="13"/>
      <c r="J23" s="139">
        <f>IF(AND(E13&gt;0,E17&gt;0),SUM(J15+J21),"")</f>
        <v>1694</v>
      </c>
      <c r="K23" s="11"/>
      <c r="L23" s="139">
        <f>IF(AND(E13&gt;0,E17&gt;0),SUM(L15+L21),"")</f>
        <v>2023</v>
      </c>
      <c r="M23" s="11"/>
      <c r="N23" s="20"/>
      <c r="O23" s="14"/>
    </row>
    <row r="24" spans="2:18" x14ac:dyDescent="0.3">
      <c r="B24" s="10"/>
      <c r="C24" s="78"/>
      <c r="D24" s="12"/>
      <c r="E24" s="11"/>
      <c r="F24" s="20"/>
      <c r="G24" s="11"/>
      <c r="H24" s="21"/>
      <c r="I24" s="13"/>
      <c r="J24" s="11"/>
      <c r="K24" s="11"/>
      <c r="L24" s="11"/>
      <c r="M24" s="11"/>
      <c r="N24" s="20"/>
      <c r="O24" s="14"/>
    </row>
    <row r="25" spans="2:18" x14ac:dyDescent="0.3">
      <c r="B25" s="10"/>
      <c r="C25" s="78"/>
      <c r="D25" s="12"/>
      <c r="E25" s="11"/>
      <c r="F25" s="20"/>
      <c r="G25" s="11"/>
      <c r="H25" s="94" t="str">
        <f>IF(H26="","Underwriter Remit Amount","")</f>
        <v>Underwriter Remit Amount</v>
      </c>
      <c r="I25" s="13"/>
      <c r="J25" s="110">
        <f>IF(E13&gt;0,IF(E11="Shelby", (J15+J21)*E19/100, IF(E11="All Other Counties", (J15+J21)*E19/100, (Calculations!V6+Calculations!V9)*E19/100)),"")</f>
        <v>0</v>
      </c>
      <c r="K25" s="96"/>
      <c r="L25" s="110">
        <f>IF(E13&gt;0,IF(E11="Shelby", (L15+L21)*E19/100, IF(E11="All Other Counties", (L15+L21)*E19/100, (Calculations!W6+Calculations!W9)*E19/100)),"")</f>
        <v>0</v>
      </c>
      <c r="M25" s="96"/>
      <c r="N25" s="20"/>
      <c r="O25" s="14"/>
    </row>
    <row r="26" spans="2:18" x14ac:dyDescent="0.3">
      <c r="B26" s="10"/>
      <c r="C26" s="78"/>
      <c r="D26" s="12"/>
      <c r="E26" s="11"/>
      <c r="F26" s="20"/>
      <c r="G26" s="11"/>
      <c r="H26" s="94" t="str">
        <f>IF(J17&gt;0, "Underwriter Remit Amount", "")</f>
        <v/>
      </c>
      <c r="I26" s="13"/>
      <c r="J26" s="96" t="str">
        <f>IF(J17&gt;0,IF(E11="Shelby", E19*J17/100, IF(E11="All Other Counties", E19*J17/100, E19*Calculations!V7/100)), "")</f>
        <v/>
      </c>
      <c r="K26" s="96"/>
      <c r="L26" s="102" t="str">
        <f>IF(L17&gt;0,IF(E11="Shelby", E19*L17/100, IF(E11="All Other Counties", E19*L17/100, E19*Calculations!W7/100)), "")</f>
        <v/>
      </c>
      <c r="M26" s="102"/>
      <c r="N26" s="20"/>
      <c r="O26" s="14"/>
    </row>
    <row r="27" spans="2:18" x14ac:dyDescent="0.3">
      <c r="B27" s="10"/>
      <c r="C27" s="78"/>
      <c r="D27" s="12"/>
      <c r="E27" s="11"/>
      <c r="F27" s="20"/>
      <c r="G27" s="11"/>
      <c r="H27" s="93" t="str">
        <f>IF(J17&gt;0, "(Property owned for 90 days or less from date of DOT)", "")</f>
        <v/>
      </c>
      <c r="I27" s="13"/>
      <c r="J27" s="11"/>
      <c r="K27" s="11"/>
      <c r="L27" s="11"/>
      <c r="M27" s="11"/>
      <c r="N27" s="20"/>
      <c r="O27" s="14"/>
    </row>
    <row r="28" spans="2:18" x14ac:dyDescent="0.3">
      <c r="B28" s="10"/>
      <c r="C28" s="78"/>
      <c r="D28" s="12"/>
      <c r="E28" s="11"/>
      <c r="F28" s="20"/>
      <c r="G28" s="11"/>
      <c r="H28" s="94" t="str">
        <f xml:space="preserve"> IF(J17&gt;0, "Underwriter Remit Amount", "")</f>
        <v/>
      </c>
      <c r="I28" s="13"/>
      <c r="J28" s="86" t="str">
        <f>IF(J19&gt; 0, IF(E11="Shelby", E19*J19/100, IF(E11="All Other Counties",E19*J19/100,E19*Calculations!V8/100)),"")</f>
        <v/>
      </c>
      <c r="K28" s="86"/>
      <c r="L28" s="102" t="str">
        <f>IF(L19&gt; 0, IF(E11="Shelby", E19*L19/100, IF(E11="All Other Counties",E19*L19/100,E19*Calculations!W8/100)),"")</f>
        <v/>
      </c>
      <c r="M28" s="102"/>
      <c r="N28" s="20"/>
      <c r="O28" s="14"/>
    </row>
    <row r="29" spans="2:18" x14ac:dyDescent="0.3">
      <c r="B29" s="10"/>
      <c r="C29" s="78"/>
      <c r="D29" s="12"/>
      <c r="E29" s="11"/>
      <c r="F29" s="20"/>
      <c r="G29" s="11"/>
      <c r="H29" s="93" t="str">
        <f>IF(J17&gt;0, "(Property owned for more than 90 days from date of DOT)", "")</f>
        <v/>
      </c>
      <c r="I29" s="13"/>
      <c r="J29" s="11"/>
      <c r="K29" s="11"/>
      <c r="L29" s="11"/>
      <c r="M29" s="11"/>
      <c r="N29" s="20"/>
      <c r="O29" s="14"/>
    </row>
    <row r="30" spans="2:18" x14ac:dyDescent="0.3">
      <c r="B30" s="10"/>
      <c r="C30" s="81"/>
      <c r="D30" s="24"/>
      <c r="E30" s="25"/>
      <c r="F30" s="26"/>
      <c r="G30" s="11"/>
      <c r="H30" s="27"/>
      <c r="I30" s="28"/>
      <c r="J30" s="25"/>
      <c r="K30" s="25"/>
      <c r="L30" s="25"/>
      <c r="M30" s="25"/>
      <c r="N30" s="26"/>
      <c r="O30" s="14"/>
    </row>
    <row r="31" spans="2:18" ht="15" thickBot="1" x14ac:dyDescent="0.35">
      <c r="B31" s="29"/>
      <c r="C31" s="31"/>
      <c r="D31" s="31"/>
      <c r="E31" s="30"/>
      <c r="F31" s="30"/>
      <c r="G31" s="30"/>
      <c r="H31" s="32"/>
      <c r="I31" s="32"/>
      <c r="J31" s="30"/>
      <c r="K31" s="30"/>
      <c r="L31" s="30"/>
      <c r="M31" s="30"/>
      <c r="N31" s="30"/>
      <c r="O31" s="33"/>
    </row>
    <row r="32" spans="2:18" x14ac:dyDescent="0.3">
      <c r="O32" s="137" t="s">
        <v>45</v>
      </c>
    </row>
  </sheetData>
  <sheetProtection sheet="1" formatCells="0" formatColumns="0" formatRows="0" insertColumns="0" insertRows="0" insertHyperlinks="0" deleteColumns="0" deleteRows="0"/>
  <mergeCells count="3">
    <mergeCell ref="H8:N8"/>
    <mergeCell ref="C8:F8"/>
    <mergeCell ref="B4:O4"/>
  </mergeCells>
  <dataValidations count="3">
    <dataValidation type="decimal" allowBlank="1" showInputMessage="1" showErrorMessage="1" errorTitle="Error" error="Please enter in Accounting number format." sqref="E15 E13" xr:uid="{CD5EED3C-F15D-4EA0-ADE4-6027DBE9254E}">
      <formula1>0</formula1>
      <formula2>1E+254</formula2>
    </dataValidation>
    <dataValidation type="decimal" allowBlank="1" showInputMessage="1" showErrorMessage="1" errorTitle="Error:" error="Please enter in Accounting number format." sqref="E17" xr:uid="{1A6D9E88-9563-472D-AE2C-5832261D8D8A}">
      <formula1>0</formula1>
      <formula2>1E+254</formula2>
    </dataValidation>
    <dataValidation type="whole" allowBlank="1" showInputMessage="1" showErrorMessage="1" errorTitle="Error" error="Please enter a valid value between 0 and 100" sqref="E19" xr:uid="{EFA264D1-9014-497E-8C38-DA8B47F83731}">
      <formula1>0</formula1>
      <formula2>100</formula2>
    </dataValidation>
  </dataValidations>
  <pageMargins left="0.25" right="0.25" top="0.75" bottom="0.75" header="0.3" footer="0.3"/>
  <pageSetup scale="70" fitToHeight="0" orientation="landscape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A3BDD9-416C-4813-804B-D38AFB257FDF}">
          <x14:formula1>
            <xm:f>Calculations!$O$4:$O$12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36B75-53F6-4C26-97F8-07C0C849BA70}">
  <dimension ref="B1:X15"/>
  <sheetViews>
    <sheetView zoomScale="85" zoomScaleNormal="85" workbookViewId="0">
      <selection activeCell="M10" sqref="M10"/>
    </sheetView>
  </sheetViews>
  <sheetFormatPr defaultRowHeight="14.4" x14ac:dyDescent="0.3"/>
  <cols>
    <col min="1" max="1" width="1.88671875" customWidth="1"/>
    <col min="2" max="13" width="10.88671875" customWidth="1"/>
    <col min="14" max="14" width="4" customWidth="1"/>
    <col min="15" max="15" width="14.88671875" style="1" bestFit="1" customWidth="1"/>
    <col min="16" max="18" width="12.88671875" style="1" customWidth="1"/>
    <col min="19" max="19" width="12.88671875" hidden="1" customWidth="1"/>
    <col min="21" max="21" width="21.5546875" bestFit="1" customWidth="1"/>
    <col min="22" max="22" width="11.5546875" bestFit="1" customWidth="1"/>
    <col min="23" max="23" width="11.5546875" customWidth="1"/>
    <col min="24" max="24" width="11" customWidth="1"/>
  </cols>
  <sheetData>
    <row r="1" spans="2:24" ht="15" thickBot="1" x14ac:dyDescent="0.35"/>
    <row r="2" spans="2:24" ht="21.6" customHeight="1" thickBot="1" x14ac:dyDescent="0.35">
      <c r="B2" s="155" t="s">
        <v>11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  <c r="P2" s="150" t="s">
        <v>15</v>
      </c>
      <c r="Q2" s="151"/>
      <c r="R2" s="151"/>
      <c r="S2" s="151"/>
      <c r="U2" s="149" t="s">
        <v>33</v>
      </c>
      <c r="V2" s="149"/>
      <c r="W2" s="149"/>
      <c r="X2" s="149"/>
    </row>
    <row r="3" spans="2:24" ht="83.4" thickBot="1" x14ac:dyDescent="0.35">
      <c r="B3" s="158" t="s">
        <v>42</v>
      </c>
      <c r="C3" s="159"/>
      <c r="D3" s="160"/>
      <c r="E3" s="161" t="s">
        <v>10</v>
      </c>
      <c r="F3" s="162"/>
      <c r="G3" s="163"/>
      <c r="H3" s="164" t="s">
        <v>4</v>
      </c>
      <c r="I3" s="165"/>
      <c r="J3" s="166"/>
      <c r="K3" s="152" t="s">
        <v>6</v>
      </c>
      <c r="L3" s="153"/>
      <c r="M3" s="154"/>
      <c r="N3" s="34"/>
      <c r="O3" s="35" t="s">
        <v>0</v>
      </c>
      <c r="P3" s="36" t="s">
        <v>16</v>
      </c>
      <c r="Q3" s="37" t="s">
        <v>22</v>
      </c>
      <c r="R3" s="38" t="s">
        <v>14</v>
      </c>
      <c r="S3" s="39" t="s">
        <v>21</v>
      </c>
      <c r="U3" s="104" t="s">
        <v>34</v>
      </c>
      <c r="V3" s="106" t="s">
        <v>36</v>
      </c>
      <c r="W3" s="105" t="s">
        <v>32</v>
      </c>
      <c r="X3" s="108" t="s">
        <v>35</v>
      </c>
    </row>
    <row r="4" spans="2:24" ht="41.4" x14ac:dyDescent="0.3">
      <c r="B4" s="40" t="s">
        <v>17</v>
      </c>
      <c r="C4" s="41" t="s">
        <v>18</v>
      </c>
      <c r="D4" s="41" t="s">
        <v>19</v>
      </c>
      <c r="E4" s="42" t="s">
        <v>17</v>
      </c>
      <c r="F4" s="64" t="s">
        <v>18</v>
      </c>
      <c r="G4" s="64" t="s">
        <v>19</v>
      </c>
      <c r="H4" s="43" t="s">
        <v>17</v>
      </c>
      <c r="I4" s="67" t="s">
        <v>18</v>
      </c>
      <c r="J4" s="67" t="s">
        <v>19</v>
      </c>
      <c r="K4" s="44" t="s">
        <v>17</v>
      </c>
      <c r="L4" s="70" t="s">
        <v>18</v>
      </c>
      <c r="M4" s="71" t="s">
        <v>19</v>
      </c>
      <c r="N4" s="34"/>
      <c r="O4" s="114" t="s">
        <v>1</v>
      </c>
      <c r="P4" s="113">
        <f>VLOOKUP(Rates!E13, B5:D12, 2, TRUE) + QUOTIENT((Rates!E13-VLOOKUP(Rates!E13, B5:D12, 1, TRUE)),1000) * VLOOKUP(Rates!E13, B5:D12, 3, TRUE)</f>
        <v>2043.5</v>
      </c>
      <c r="Q4" s="45" t="e">
        <f>(VLOOKUP(IF(Rates!E13&lt;=Rates!E15, Rates!E13, Rates!E15), B5:D12, 2, TRUE) + QUOTIENT((IF(Rates!E13&lt;=Rates!E15, Rates!E13, Rates!E15)-VLOOKUP(IF(Rates!E13&lt;=Rates!E15, Rates!E13, Rates!E15), B5:D12, 1, TRUE)),1000) * VLOOKUP(IF(Rates!E13&lt;=Rates!E15, Rates!E13, Rates!E15), B5:D12, 3, TRUE))*0.3</f>
        <v>#N/A</v>
      </c>
      <c r="R4" s="46">
        <f>VLOOKUP(Rates!E17, B5:D12, 2, TRUE) + QUOTIENT((Rates!E17-VLOOKUP(Rates!E17, B5:D12, 1, TRUE)),1000) * VLOOKUP(Rates!E17, B5:D12, 3, TRUE)</f>
        <v>1625.9</v>
      </c>
      <c r="S4" s="47" t="e">
        <f>VLOOKUP(Rates!E17-Rates!E13, B5:D12, 2, TRUE) + QUOTIENT(((Rates!E17-Rates!E13)-VLOOKUP(Rates!E17-Rates!E13, B5:D12, 1, TRUE)),1000) * VLOOKUP(Rates!E17-Rates!E13, B5:D12, 3, TRUE)</f>
        <v>#N/A</v>
      </c>
      <c r="U4" s="87" t="s">
        <v>16</v>
      </c>
      <c r="V4" s="88">
        <f>IF(OR(ISBLANK(Rates!E13),Rates!E13=0),0,IF(OR(Rates!E11="Davidson",Rates!E11="Hamilton",Rates!E11="Rutherford",Rates!E11="Knox",Rates!E11="Williamson",Rates!E11="Montgomery",Rates!E11="Sumner"),Calculations!P12,0))</f>
        <v>1075</v>
      </c>
      <c r="W4" s="91">
        <f>V4*1.2</f>
        <v>1290</v>
      </c>
      <c r="X4" s="91"/>
    </row>
    <row r="5" spans="2:24" x14ac:dyDescent="0.3">
      <c r="B5" s="48">
        <v>1</v>
      </c>
      <c r="C5" s="49">
        <v>200</v>
      </c>
      <c r="D5" s="49">
        <v>0</v>
      </c>
      <c r="E5" s="50">
        <v>1</v>
      </c>
      <c r="F5" s="65">
        <v>200</v>
      </c>
      <c r="G5" s="65">
        <v>0</v>
      </c>
      <c r="H5" s="51">
        <v>1</v>
      </c>
      <c r="I5" s="68">
        <v>225</v>
      </c>
      <c r="J5" s="68">
        <v>0</v>
      </c>
      <c r="K5" s="52">
        <v>1</v>
      </c>
      <c r="L5" s="72">
        <v>165</v>
      </c>
      <c r="M5" s="73">
        <v>0</v>
      </c>
      <c r="N5" s="34"/>
      <c r="O5" s="115" t="s">
        <v>12</v>
      </c>
      <c r="P5" s="113">
        <f>VLOOKUP(Rates!E13, B5:D12, 2, TRUE) + QUOTIENT((Rates!E13-VLOOKUP(Rates!E13, B5:D12, 1, TRUE)),1000) * VLOOKUP(Rates!E13, B5:D12, 3, TRUE)</f>
        <v>2043.5</v>
      </c>
      <c r="Q5" s="45" t="e">
        <f>(VLOOKUP(IF(Rates!E13&lt;=Rates!E15, Rates!E13, Rates!E15), B5:D12, 2, TRUE) + QUOTIENT((IF(Rates!E13&lt;=Rates!E15, Rates!E13, Rates!E15)-VLOOKUP(IF(Rates!E13&lt;=Rates!E15, Rates!E13, Rates!E15), B5:D12, 1, TRUE)),1000) * VLOOKUP(IF(Rates!E13&lt;=Rates!E15, Rates!E13, Rates!E15), B5:D12, 3, TRUE))*0.3</f>
        <v>#N/A</v>
      </c>
      <c r="R5" s="46">
        <f>VLOOKUP(Rates!E17, B5:D12, 2, TRUE) + QUOTIENT((Rates!E17-VLOOKUP(Rates!E17, B5:D12, 1, TRUE)),1000) * VLOOKUP(Rates!E17, B5:D12, 3, TRUE)</f>
        <v>1625.9</v>
      </c>
      <c r="S5" s="47" t="e">
        <f>VLOOKUP(Rates!E17-Rates!E13, B5:D12, 2, TRUE) + QUOTIENT(((Rates!E17-Rates!E13)-VLOOKUP(Rates!E17-Rates!E13, B5:D12, 1, TRUE)),1000) * VLOOKUP(Rates!E17-Rates!E13, B5:D12, 3, TRUE)</f>
        <v>#N/A</v>
      </c>
      <c r="U5" s="89" t="s">
        <v>20</v>
      </c>
      <c r="V5" s="88">
        <f>(IF(OR(ISBLANK(Rates!E15), Rates!E15 = 0), 0, IF(OR(Rates!E11= "Davidson", Rates!E11 ="Hamilton", Rates!E11 = "Rutherford", Rates!E11 = "Knox", Rates!E11= "Williamson"), Calculations!Q12, 0)))*-1</f>
        <v>0</v>
      </c>
      <c r="W5" s="91">
        <f>V5*1.2</f>
        <v>0</v>
      </c>
      <c r="X5" s="91"/>
    </row>
    <row r="6" spans="2:24" x14ac:dyDescent="0.3">
      <c r="B6" s="48">
        <v>1001</v>
      </c>
      <c r="C6" s="49">
        <f t="shared" ref="C6:C12" si="0">(B6-B5)*D5/1000 + C5 - D5 + D6</f>
        <v>206.5</v>
      </c>
      <c r="D6" s="49">
        <v>6.5</v>
      </c>
      <c r="E6" s="50">
        <v>1001</v>
      </c>
      <c r="F6" s="65">
        <f t="shared" ref="F6:F11" si="1">(E6-E5)*G5/1000 + F5 - G5 + G6</f>
        <v>206.5</v>
      </c>
      <c r="G6" s="65">
        <v>6.5</v>
      </c>
      <c r="H6" s="51">
        <v>1001</v>
      </c>
      <c r="I6" s="68">
        <f t="shared" ref="I6:I11" si="2">(H6-H5)*J5/1000 + I5 - J5 + J6</f>
        <v>229.4</v>
      </c>
      <c r="J6" s="68">
        <v>4.4000000000000004</v>
      </c>
      <c r="K6" s="52">
        <v>36001</v>
      </c>
      <c r="L6" s="72">
        <v>166.5</v>
      </c>
      <c r="M6" s="73">
        <v>4.5</v>
      </c>
      <c r="N6" s="34"/>
      <c r="O6" s="115" t="s">
        <v>5</v>
      </c>
      <c r="P6" s="113">
        <f>VLOOKUP(Rates!E13, B5:D12, 2, TRUE) + QUOTIENT((Rates!E13-VLOOKUP(Rates!E13, B5:D12, 1, TRUE)),1000) * VLOOKUP(Rates!E13, B5:D12, 3, TRUE)</f>
        <v>2043.5</v>
      </c>
      <c r="Q6" s="45" t="e">
        <f>(VLOOKUP(IF(Rates!E13&lt;=Rates!E15, Rates!E13, Rates!E15), B5:D12, 2, TRUE) + QUOTIENT((IF(Rates!E13&lt;=Rates!E15, Rates!E13, Rates!E15)-VLOOKUP(IF(Rates!E13&lt;=Rates!E15, Rates!E13, Rates!E15), B5:D12, 1, TRUE)),1000) * VLOOKUP(IF(Rates!E13&lt;=Rates!E15, Rates!E13, Rates!E15), B5:D12, 3, TRUE))*0.3</f>
        <v>#N/A</v>
      </c>
      <c r="R6" s="46">
        <f>VLOOKUP(Rates!E17, B5:D12, 2, TRUE) + QUOTIENT((Rates!E17-VLOOKUP(Rates!E17, B5:D12, 1, TRUE)),1000) * VLOOKUP(Rates!E17, B5:D12, 3, TRUE)</f>
        <v>1625.9</v>
      </c>
      <c r="S6" s="47" t="e">
        <f>VLOOKUP(Rates!E17-Rates!E13, B5:D12, 2, TRUE) + QUOTIENT(((Rates!E17-Rates!E13)-VLOOKUP(Rates!E17-Rates!E13, B5:D12, 1, TRUE)),1000) * VLOOKUP(Rates!E17-Rates!E13, B5:D12, 3, TRUE)</f>
        <v>#N/A</v>
      </c>
      <c r="U6" s="90" t="s">
        <v>25</v>
      </c>
      <c r="V6" s="91">
        <f>ROUNDUP(IF(Rates!E13=0, 0, IF(OR(Rates!E11= "Davidson", Rates!E11 ="Hamilton", Rates!E11 = "Rutherford", Rates!E11 = "Knox", Rates!E11= "Williamson", Rates!E11= "Montgomery", Rates!E11= "Sumner"), IF(V4+V5&lt;=165, 165, V4+V5), 0)), 0)</f>
        <v>1075</v>
      </c>
      <c r="W6" s="91">
        <f>ROUNDUP(IF(Rates!E13=0, 0, IF(OR(Rates!E11= "Davidson", Rates!E11 ="Hamilton", Rates!E11 = "Rutherford", Rates!E11 = "Knox", Rates!E11= "Williamson", Rates!E11= "Montgomery", Rates!E11= "Sumner"), IF(W4+W5&lt;=165, 165, W4+W5), 0)), 0)</f>
        <v>1290</v>
      </c>
      <c r="X6" s="91">
        <f>(IF(Rates!E13=0,0,IF(OR(Rates!E11="Davidson",Rates!E11="Hamilton",Rates!E11="Rutherford",Rates!E11="Knox",Rates!E11="Williamson",Rates!E11="Montgomery",Rates!E11="Sumner"),IF(V4+V5&lt;=165,165,V4+V5),0)))</f>
        <v>1075</v>
      </c>
    </row>
    <row r="7" spans="2:24" ht="28.8" x14ac:dyDescent="0.3">
      <c r="B7" s="48">
        <v>100001</v>
      </c>
      <c r="C7" s="49">
        <f t="shared" si="0"/>
        <v>848.3</v>
      </c>
      <c r="D7" s="49">
        <v>4.8</v>
      </c>
      <c r="E7" s="50">
        <v>100001</v>
      </c>
      <c r="F7" s="65">
        <f t="shared" si="1"/>
        <v>846.7</v>
      </c>
      <c r="G7" s="65">
        <v>3.2</v>
      </c>
      <c r="H7" s="51">
        <v>100001</v>
      </c>
      <c r="I7" s="68">
        <f t="shared" si="2"/>
        <v>663.90000000000009</v>
      </c>
      <c r="J7" s="68">
        <v>3.3</v>
      </c>
      <c r="K7" s="52">
        <v>50001</v>
      </c>
      <c r="L7" s="72">
        <v>228.75</v>
      </c>
      <c r="M7" s="73">
        <v>3.75</v>
      </c>
      <c r="N7" s="34"/>
      <c r="O7" s="115" t="s">
        <v>2</v>
      </c>
      <c r="P7" s="113">
        <f>VLOOKUP(Rates!E13, E5:G12, 2, TRUE) + QUOTIENT((Rates!E13-VLOOKUP(Rates!E13, E5:G12, 1, TRUE)),1000) * VLOOKUP(Rates!E13, E5:G12, 3, TRUE)</f>
        <v>1643.5</v>
      </c>
      <c r="Q7" s="45" t="e">
        <f>(VLOOKUP(IF(Rates!E13&lt;=Rates!E15, Rates!E13, Rates!E15), E5:G12, 2, TRUE) + QUOTIENT((IF(Rates!E13&lt;=Rates!E15, Rates!E13, Rates!E15)-VLOOKUP(IF(Rates!E13&lt;=Rates!E15, Rates!E13, Rates!E15), E5:G12, 1, TRUE)),1000) * VLOOKUP(IF(Rates!E13&lt;=Rates!E15, Rates!E13, Rates!E15), E5:G12, 3, TRUE))*0.3</f>
        <v>#N/A</v>
      </c>
      <c r="R7" s="46">
        <f>VLOOKUP(Rates!E17, E5:G12, 2, TRUE) + QUOTIENT((Rates!E17-VLOOKUP(Rates!E17, E5:G12, 1, TRUE)),1000) * VLOOKUP(Rates!E17, E5:G12, 3, TRUE)</f>
        <v>1365.1</v>
      </c>
      <c r="S7" s="47" t="e">
        <f>VLOOKUP(Rates!E17-Rates!E13, E5:G12, 2, TRUE) + QUOTIENT(((Rates!E17-Rates!E13)-VLOOKUP(Rates!E17-Rates!E13, E5:G12, 1, TRUE)),1000) * VLOOKUP(Rates!E17-Rates!E13, E5:G12, 3, TRUE)</f>
        <v>#N/A</v>
      </c>
      <c r="U7" s="89" t="s">
        <v>30</v>
      </c>
      <c r="V7" s="91">
        <f xml:space="preserve"> ROUNDUP((IF(Rates!E13&gt;0, 0, IF(OR(ISBLANK(Rates!E17), Rates!E17 = 0), 0, IF(OR(Rates!E11= "Davidson", Rates!E11 ="Hamilton", Rates!E11 = "Rutherford", Rates!E11 = "Knox", Rates!E11= "Williamson", Rates!E11= "Montgomery", Rates!E11= "Sumner"), Calculations!R12, 0)))),)</f>
        <v>0</v>
      </c>
      <c r="W7" s="91">
        <f>ROUNDUP(V7*1.2,0)</f>
        <v>0</v>
      </c>
      <c r="X7" s="91">
        <f>(IF(Rates!E13&gt;0, 0, IF(OR(ISBLANK(Rates!E17), Rates!E17 = 0), 0, IF(OR(Rates!E11= "Davidson", Rates!E11 ="Hamilton", Rates!E11 = "Rutherford", Rates!E11 = "Knox", Rates!E11= "Williamson", Rates!E11= "Montgomery", Rates!E11= "Sumner"), Calculations!R12, 0))))</f>
        <v>0</v>
      </c>
    </row>
    <row r="8" spans="2:24" ht="28.8" x14ac:dyDescent="0.3">
      <c r="B8" s="48">
        <v>500001</v>
      </c>
      <c r="C8" s="49">
        <f t="shared" si="0"/>
        <v>2766.65</v>
      </c>
      <c r="D8" s="49">
        <v>3.15</v>
      </c>
      <c r="E8" s="50">
        <v>1000001</v>
      </c>
      <c r="F8" s="65">
        <f t="shared" si="1"/>
        <v>3725.6</v>
      </c>
      <c r="G8" s="65">
        <v>2.1</v>
      </c>
      <c r="H8" s="51">
        <v>1000001</v>
      </c>
      <c r="I8" s="68">
        <f t="shared" si="2"/>
        <v>3632.7</v>
      </c>
      <c r="J8" s="68">
        <v>2.1</v>
      </c>
      <c r="K8" s="52">
        <v>100001</v>
      </c>
      <c r="L8" s="72">
        <f>(K8-K7)*M7/1000 + L7 - M7 + M8</f>
        <v>415.15</v>
      </c>
      <c r="M8" s="73">
        <v>2.65</v>
      </c>
      <c r="N8" s="34"/>
      <c r="O8" s="115" t="s">
        <v>3</v>
      </c>
      <c r="P8" s="113">
        <f>VLOOKUP(Rates!E13, E5:G12, 2, TRUE) + QUOTIENT((Rates!E13-VLOOKUP(Rates!E13, E5:G12, 1, TRUE)),1000) * VLOOKUP(Rates!E13, E5:G12, 3, TRUE)</f>
        <v>1643.5</v>
      </c>
      <c r="Q8" s="45" t="e">
        <f>(VLOOKUP(IF(Rates!E13&lt;=Rates!E15, Rates!E13, Rates!E15), E5:G12, 2, TRUE) + QUOTIENT((IF(Rates!E13&lt;=Rates!E15, Rates!E13, Rates!E15)-VLOOKUP(IF(Rates!E13&lt;=Rates!E15, Rates!E13, Rates!E15), E5:G12, 1, TRUE)),1000) * VLOOKUP(IF(Rates!E13&lt;=Rates!E15, Rates!E13, Rates!E15), E5:G12, 3, TRUE))*0.3</f>
        <v>#N/A</v>
      </c>
      <c r="R8" s="46">
        <f>VLOOKUP(Rates!E17, E5:G12, 2, TRUE) + QUOTIENT((Rates!E17-VLOOKUP(Rates!E17, E5:G12, 1, TRUE)),1000) * VLOOKUP(Rates!E17, E5:G12, 3, TRUE)</f>
        <v>1365.1</v>
      </c>
      <c r="S8" s="47" t="e">
        <f>VLOOKUP(Rates!E17-Rates!E13, E5:G12, 2, TRUE) + QUOTIENT(((Rates!E17-Rates!E13)-VLOOKUP(Rates!E17-Rates!E13, E5:G12, 1, TRUE)),1000) * VLOOKUP(Rates!E17-Rates!E13,E5:G12, 3, TRUE)</f>
        <v>#N/A</v>
      </c>
      <c r="U8" s="89" t="s">
        <v>31</v>
      </c>
      <c r="V8" s="91">
        <f>ROUNDUP(IF(V7*0.75&lt;165,165,V7*0.75),0)</f>
        <v>165</v>
      </c>
      <c r="W8" s="91">
        <f>ROUNDUP(IF(W7*0.75&lt;165,165,W7*0.75),0)</f>
        <v>165</v>
      </c>
      <c r="X8" s="91">
        <f>X7*0.75</f>
        <v>0</v>
      </c>
    </row>
    <row r="9" spans="2:24" x14ac:dyDescent="0.3">
      <c r="B9" s="48">
        <v>1000001</v>
      </c>
      <c r="C9" s="49">
        <f t="shared" si="0"/>
        <v>4340.6000000000004</v>
      </c>
      <c r="D9" s="49">
        <v>2.1</v>
      </c>
      <c r="E9" s="50">
        <v>5000001</v>
      </c>
      <c r="F9" s="65">
        <f t="shared" si="1"/>
        <v>12125.15</v>
      </c>
      <c r="G9" s="65">
        <v>1.65</v>
      </c>
      <c r="H9" s="51">
        <v>5000001</v>
      </c>
      <c r="I9" s="68">
        <f t="shared" si="2"/>
        <v>12032.25</v>
      </c>
      <c r="J9" s="68">
        <v>1.65</v>
      </c>
      <c r="K9" s="52">
        <v>1000001</v>
      </c>
      <c r="L9" s="72">
        <v>2799.6</v>
      </c>
      <c r="M9" s="73">
        <v>2.1</v>
      </c>
      <c r="N9" s="34"/>
      <c r="O9" s="115" t="s">
        <v>4</v>
      </c>
      <c r="P9" s="113">
        <f>VLOOKUP(Rates!E13, H5:J12, 2, TRUE) + QUOTIENT((Rates!E13-VLOOKUP(Rates!E13, H5:J12, 1, TRUE)),1000) * VLOOKUP(Rates!E13, H5:J12, 3, TRUE)</f>
        <v>1485.6</v>
      </c>
      <c r="Q9" s="45" t="e">
        <f>(VLOOKUP(IF(Rates!E13&lt;=Rates!E15, Rates!E13, Rates!E15), H5:J12, 2, TRUE) + QUOTIENT((IF(Rates!E13&lt;=Rates!E15, Rates!E13, Rates!E15)-VLOOKUP(IF(Rates!E13&lt;=Rates!E15, Rates!E13, Rates!E15), H5:J12, 1, TRUE)),1000) * VLOOKUP(IF(Rates!E13&lt;=Rates!E15, Rates!E13, Rates!E15), H5:J12, 3, TRUE))*0.3</f>
        <v>#N/A</v>
      </c>
      <c r="R9" s="46">
        <f>VLOOKUP(Rates!E17, H5:J12, 2, TRUE) + QUOTIENT((Rates!E17-VLOOKUP(Rates!E17, H5:J12, 1, TRUE)),1000) * VLOOKUP(Rates!E17, H5:J12, 3, TRUE)</f>
        <v>1198.5</v>
      </c>
      <c r="S9" s="47" t="e">
        <f>VLOOKUP(Rates!E17-Rates!E13, H5:J12, 2, TRUE) + QUOTIENT(((Rates!E17-Rates!E13)-VLOOKUP(Rates!E17-Rates!E13, H5:J12, 1, TRUE)),1000) * VLOOKUP(Rates!E17-Rates!E13, H5:J12, 3, TRUE)</f>
        <v>#N/A</v>
      </c>
      <c r="U9" s="92" t="s">
        <v>27</v>
      </c>
      <c r="V9" s="91">
        <f>ROUNDUP((IF(AND(Rates!E13&gt;0, Rates!E17&gt;0), IF(OR(Rates!E11= "Davidson", Rates!E11 ="Hamilton", Rates!E11 = "Rutherford", Rates!E11 = "Knox", Rates!E11= "Williamson", Rates!E11= "Montgomery", Rates!E11= "Sumner"), IF(Rates!E17&lt;= Rates!E13,50, Calculations!R12 - Calculations!P12+50)))), )</f>
        <v>50</v>
      </c>
      <c r="W9" s="91">
        <f>((V9-50)*1.2)+50</f>
        <v>50</v>
      </c>
      <c r="X9" s="91"/>
    </row>
    <row r="10" spans="2:24" ht="15" thickBot="1" x14ac:dyDescent="0.35">
      <c r="B10" s="48">
        <v>5000001</v>
      </c>
      <c r="C10" s="49">
        <f t="shared" si="0"/>
        <v>12740.15</v>
      </c>
      <c r="D10" s="49">
        <v>1.65</v>
      </c>
      <c r="E10" s="50">
        <v>10000001</v>
      </c>
      <c r="F10" s="65">
        <f t="shared" si="1"/>
        <v>20374.8</v>
      </c>
      <c r="G10" s="65">
        <v>1.3</v>
      </c>
      <c r="H10" s="51">
        <v>10000001</v>
      </c>
      <c r="I10" s="68">
        <f t="shared" si="2"/>
        <v>20281.899999999998</v>
      </c>
      <c r="J10" s="68">
        <v>1.3</v>
      </c>
      <c r="K10" s="52">
        <v>5000001</v>
      </c>
      <c r="L10" s="72">
        <f>(K10-K9)*M9/1000 + L9 - M9 + M10</f>
        <v>11199.15</v>
      </c>
      <c r="M10" s="73">
        <v>1.65</v>
      </c>
      <c r="N10" s="34"/>
      <c r="O10" s="116" t="s">
        <v>40</v>
      </c>
      <c r="P10" s="113">
        <f>VLOOKUP(Rates!E13, B5:D12, 2, TRUE) + QUOTIENT((Rates!E13-VLOOKUP(Rates!E13, B5:D12, 1, TRUE)),1000) * VLOOKUP(Rates!E13, B5:D12, 3, TRUE)</f>
        <v>2043.5</v>
      </c>
      <c r="Q10" s="45" t="e">
        <f>(VLOOKUP(IF(Rates!E13&lt;=Rates!E15, Rates!E13, Rates!E15), B5:D12, 2, TRUE) + QUOTIENT((IF(Rates!E13&lt;=Rates!E15, Rates!E13, Rates!E15)-VLOOKUP(IF(Rates!E13&lt;=Rates!E15, Rates!E13, Rates!E15), B5:D12, 1, TRUE)),1000) * VLOOKUP(IF(Rates!E13&lt;=Rates!E15, Rates!E13, Rates!E15), B5:D12, 3, TRUE))*0.3</f>
        <v>#N/A</v>
      </c>
      <c r="R10" s="46">
        <f>VLOOKUP(Rates!E17, B5:D12, 2, TRUE) + QUOTIENT((Rates!E17-VLOOKUP(Rates!E17, B5:D12, 1, TRUE)),1000) * VLOOKUP(Rates!E17, B5:D12, 3, TRUE)</f>
        <v>1625.9</v>
      </c>
      <c r="S10" s="56" t="e">
        <f>VLOOKUP(Rates!E17-Rates!E13, K5:M12, 2, TRUE) + QUOTIENT(((Rates!E17-Rates!E13)-VLOOKUP(Rates!E17-Rates!E13, K5:M12, 1, TRUE)),1000) * VLOOKUP(Rates!E17-Rates!E13, K5:M12, 3, TRUE)</f>
        <v>#N/A</v>
      </c>
    </row>
    <row r="11" spans="2:24" x14ac:dyDescent="0.3">
      <c r="B11" s="48">
        <v>10000001</v>
      </c>
      <c r="C11" s="49">
        <f t="shared" si="0"/>
        <v>20989.8</v>
      </c>
      <c r="D11" s="49">
        <v>1.3</v>
      </c>
      <c r="E11" s="50">
        <v>15000001</v>
      </c>
      <c r="F11" s="65">
        <f t="shared" si="1"/>
        <v>26874.5</v>
      </c>
      <c r="G11" s="65">
        <v>1</v>
      </c>
      <c r="H11" s="51">
        <v>15000001</v>
      </c>
      <c r="I11" s="68">
        <f t="shared" si="2"/>
        <v>26781.599999999999</v>
      </c>
      <c r="J11" s="68">
        <v>1</v>
      </c>
      <c r="K11" s="52">
        <v>10000001</v>
      </c>
      <c r="L11" s="72">
        <f>(K11-K10)*M10/1000 + L10 - M10 + M11</f>
        <v>19448.8</v>
      </c>
      <c r="M11" s="73">
        <v>1.3</v>
      </c>
      <c r="N11" s="34"/>
      <c r="O11" s="115" t="s">
        <v>41</v>
      </c>
      <c r="P11" s="113">
        <f>VLOOKUP(Rates!E13, B5:D12, 2, TRUE) + QUOTIENT((Rates!E13-VLOOKUP(Rates!E13, B5:D12, 1, TRUE)),1000) * VLOOKUP(Rates!E13, B5:D12, 3, TRUE)</f>
        <v>2043.5</v>
      </c>
      <c r="Q11" s="45" t="e">
        <f>(VLOOKUP(IF(Rates!E13&lt;=Rates!E15, Rates!E13, Rates!E15), B5:D12, 2, TRUE) + QUOTIENT((IF(Rates!E13&lt;=Rates!E15, Rates!E13, Rates!E15)-VLOOKUP(IF(Rates!E13&lt;=Rates!E15, Rates!E13, Rates!E15), B5:D12, 1, TRUE)),1000) * VLOOKUP(IF(Rates!E13&lt;=Rates!E15, Rates!E13, Rates!E15), B5:D12, 3, TRUE))*0.3</f>
        <v>#N/A</v>
      </c>
      <c r="R11" s="46">
        <f>VLOOKUP(Rates!E17, B5:D12, 2, TRUE) + QUOTIENT((Rates!E17-VLOOKUP(Rates!E17, B5:D12, 1, TRUE)),1000) * VLOOKUP(Rates!E17, B5:D12, 3, TRUE)</f>
        <v>1625.9</v>
      </c>
      <c r="S11" s="34"/>
    </row>
    <row r="12" spans="2:24" ht="28.2" thickBot="1" x14ac:dyDescent="0.35">
      <c r="B12" s="58">
        <v>15000001</v>
      </c>
      <c r="C12" s="59">
        <f t="shared" si="0"/>
        <v>27489.5</v>
      </c>
      <c r="D12" s="59">
        <v>1</v>
      </c>
      <c r="E12" s="60"/>
      <c r="F12" s="66"/>
      <c r="G12" s="66"/>
      <c r="H12" s="61"/>
      <c r="I12" s="69"/>
      <c r="J12" s="69"/>
      <c r="K12" s="62">
        <v>15000001</v>
      </c>
      <c r="L12" s="74">
        <f>(K12-K11)*M11/1000 + L11 - M11 + M12</f>
        <v>25948.5</v>
      </c>
      <c r="M12" s="75">
        <v>1</v>
      </c>
      <c r="N12" s="34"/>
      <c r="O12" s="117" t="s">
        <v>6</v>
      </c>
      <c r="P12" s="53">
        <f>VLOOKUP(Rates!E13, K5:M12, 2, TRUE) + QUOTIENT((Rates!E13-VLOOKUP(Rates!E13, K5:M12, 1, TRUE)),1000) * VLOOKUP(Rates!E13, K5:M12, 3, TRUE)</f>
        <v>1075</v>
      </c>
      <c r="Q12" s="54" t="e">
        <f>(VLOOKUP(IF(Rates!E13&lt;=Rates!E15, Rates!E13, Rates!E15), K5:M12, 2, TRUE) + QUOTIENT((IF(Rates!E13&lt;=Rates!E15, Rates!E13, Rates!E15)-VLOOKUP(IF(Rates!E13&lt;=Rates!E15, Rates!E13, Rates!E15), K5:M12, 1, TRUE)),1000) * VLOOKUP(IF(Rates!E13&lt;=Rates!E15, Rates!E13, Rates!E15), K5:M12, 3, TRUE))*0.3</f>
        <v>#N/A</v>
      </c>
      <c r="R12" s="55">
        <f>VLOOKUP(Rates!E17, K5:M12, 2, TRUE) + QUOTIENT((Rates!E17-VLOOKUP(Rates!E17, K5:M12, 1, TRUE)),1000) * VLOOKUP(Rates!E17, K5:M12, 3, TRUE)</f>
        <v>844.45</v>
      </c>
      <c r="S12" s="34"/>
    </row>
    <row r="13" spans="2:24" x14ac:dyDescent="0.3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111"/>
      <c r="P13" s="112"/>
      <c r="Q13" s="112"/>
      <c r="R13" s="112"/>
      <c r="S13" s="34"/>
    </row>
    <row r="14" spans="2:24" x14ac:dyDescent="0.3">
      <c r="O14" s="111"/>
      <c r="P14" s="112"/>
      <c r="Q14" s="112"/>
      <c r="R14" s="112"/>
    </row>
    <row r="15" spans="2:24" x14ac:dyDescent="0.3">
      <c r="O15" s="57"/>
      <c r="P15" s="63"/>
      <c r="Q15" s="57"/>
      <c r="R15" s="57"/>
    </row>
  </sheetData>
  <sheetProtection sheet="1" formatCells="0" formatColumns="0" formatRows="0" insertColumns="0" insertRows="0" insertHyperlinks="0" deleteColumns="0" deleteRows="0"/>
  <mergeCells count="7">
    <mergeCell ref="U2:X2"/>
    <mergeCell ref="P2:S2"/>
    <mergeCell ref="K3:M3"/>
    <mergeCell ref="B2:M2"/>
    <mergeCell ref="B3:D3"/>
    <mergeCell ref="E3:G3"/>
    <mergeCell ref="H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Rates</vt:lpstr>
      <vt:lpstr>Calculations</vt:lpstr>
      <vt:lpstr>Rates!Print_Area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Hemant Kumar Sharma</dc:creator>
  <cp:lastModifiedBy>Kristi W. Maddox</cp:lastModifiedBy>
  <cp:lastPrinted>2021-10-28T15:22:35Z</cp:lastPrinted>
  <dcterms:created xsi:type="dcterms:W3CDTF">2015-06-05T18:17:20Z</dcterms:created>
  <dcterms:modified xsi:type="dcterms:W3CDTF">2022-03-22T16:36:51Z</dcterms:modified>
</cp:coreProperties>
</file>